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6570" activeTab="1"/>
  </bookViews>
  <sheets>
    <sheet name="budget 2009-03-24 (new format)" sheetId="1" r:id="rId1"/>
    <sheet name="ST.ZAGORA" sheetId="2" r:id="rId2"/>
  </sheets>
  <externalReferences>
    <externalReference r:id="rId5"/>
  </externalReferences>
  <definedNames>
    <definedName name="_xlnm.Print_Area" localSheetId="0">'budget 2009-03-24 (new format)'!$A$1:$AJ$125</definedName>
    <definedName name="_xlnm.Print_Area" localSheetId="1">'ST.ZAGORA'!$A$1:$D$109</definedName>
  </definedNames>
  <calcPr fullCalcOnLoad="1"/>
</workbook>
</file>

<file path=xl/sharedStrings.xml><?xml version="1.0" encoding="utf-8"?>
<sst xmlns="http://schemas.openxmlformats.org/spreadsheetml/2006/main" count="391" uniqueCount="134">
  <si>
    <t>БЮДЖЕТ 2009</t>
  </si>
  <si>
    <t>сметка</t>
  </si>
  <si>
    <t>Благоевград</t>
  </si>
  <si>
    <t>Бургас</t>
  </si>
  <si>
    <t>Варна</t>
  </si>
  <si>
    <t>В.Търново</t>
  </si>
  <si>
    <t>Видин</t>
  </si>
  <si>
    <t>Враца</t>
  </si>
  <si>
    <t>Габрво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</si>
  <si>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</si>
  <si>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</si>
  <si>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</si>
  <si>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</si>
  <si>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</si>
  <si>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</si>
  <si>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</si>
  <si>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</si>
  <si>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</si>
  <si>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</si>
  <si>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</si>
  <si>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</si>
  <si>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</si>
  <si>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</si>
  <si>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- град</t>
  </si>
  <si>
    <t>София-област</t>
  </si>
  <si>
    <t>Стара Загора</t>
  </si>
  <si>
    <t>Търговище</t>
  </si>
  <si>
    <t>Хасково</t>
  </si>
  <si>
    <t>Шумен</t>
  </si>
  <si>
    <t>Ямбол</t>
  </si>
  <si>
    <t>Общо РК</t>
  </si>
  <si>
    <t>ЦО</t>
  </si>
  <si>
    <t>Всичко КИИП</t>
  </si>
  <si>
    <t>НАИМЕНОВАНИЕ НА ПРИХОДИТЕ</t>
  </si>
  <si>
    <t>брой членове ППП + ОПП</t>
  </si>
  <si>
    <t>очакван членски внос за 2009 г.</t>
  </si>
  <si>
    <t>А. Приходи от обичайната дейност</t>
  </si>
  <si>
    <t>I. Приходи от членски внос, в това число:</t>
  </si>
  <si>
    <t xml:space="preserve"> </t>
  </si>
  <si>
    <t xml:space="preserve">1.От новопостъпили членове             </t>
  </si>
  <si>
    <t>2.От членове с ППП</t>
  </si>
  <si>
    <t>3.От членове с ОПП</t>
  </si>
  <si>
    <t>4.От членове с ТК</t>
  </si>
  <si>
    <t>5.Доброволни членове</t>
  </si>
  <si>
    <t>Общо приходи от група I:</t>
  </si>
  <si>
    <t>II.Приходи от дарения, в това число:</t>
  </si>
  <si>
    <t>1.Приходи от дарения без условие от дарителя</t>
  </si>
  <si>
    <t>2.Приходи от дарения с изрично условие от дарителя</t>
  </si>
  <si>
    <t>Общо приходи от група II:</t>
  </si>
  <si>
    <t>III. Други приходи</t>
  </si>
  <si>
    <t>1. Субсидия от държавата</t>
  </si>
  <si>
    <t>2. Спонсорства</t>
  </si>
  <si>
    <t>3. Субсидии от Европейски програми</t>
  </si>
  <si>
    <t>4. Други</t>
  </si>
  <si>
    <t>Общо приходи от група III:</t>
  </si>
  <si>
    <t>Общо пари по бюджет</t>
  </si>
  <si>
    <t>НАИМЕНОВАНИЕ НА РАЗХОДИТЕ</t>
  </si>
  <si>
    <t>I. Разходи по икономически елементи</t>
  </si>
  <si>
    <t>1.Разходи за материали, в това число:</t>
  </si>
  <si>
    <t>1.1.Книги, стандарти, специлиз.издания</t>
  </si>
  <si>
    <t>1.2.Канцеларски, почистващи м-ли и др.под.</t>
  </si>
  <si>
    <t>1.3.Вода, подкрепящи напитки (кафе, чай и др.)</t>
  </si>
  <si>
    <t>1.4.Други</t>
  </si>
  <si>
    <t>2. Разходи за външни услуги, в това число:</t>
  </si>
  <si>
    <t>2.1.Вода, електроенергия, газ</t>
  </si>
  <si>
    <t>2.2.Юридически и счетоводни услуги</t>
  </si>
  <si>
    <t>2.3.Наеми за офис, зали</t>
  </si>
  <si>
    <t>2.4.Разходи за организиран транспорт</t>
  </si>
  <si>
    <t>2.5.Телекомуникационни, пощенски и куриерски услуги</t>
  </si>
  <si>
    <t>2.6.Абонамент вестници, списания, периодични издания</t>
  </si>
  <si>
    <t>2.7.Квалификация на членовете и персонала</t>
  </si>
  <si>
    <t>2.8.Консултантски услуги</t>
  </si>
  <si>
    <t>2.10.Текущ ремонт на помещения</t>
  </si>
  <si>
    <t>2.11.Застраховки</t>
  </si>
  <si>
    <t>3. Разходи за амортизации</t>
  </si>
  <si>
    <t>3.1.Разходи за амортизации на ДМА</t>
  </si>
  <si>
    <t>3.2.Разходи за амортизации на НмДА</t>
  </si>
  <si>
    <t>4. Разходи за персонал, в това число:</t>
  </si>
  <si>
    <t>4.1.Заплати на персонал по трудови правоотношения</t>
  </si>
  <si>
    <t>4.2.Възнаграждения по извънтрудови правоотношения - граждански договори, заседателни</t>
  </si>
  <si>
    <t>4.3.Осигурителни вноски от работодател (ДОО и ЗОВ)</t>
  </si>
  <si>
    <t>5. Други разходи, в това число:</t>
  </si>
  <si>
    <t>5.1.Командировки в страната</t>
  </si>
  <si>
    <t>5.2.Командировки в чужбина</t>
  </si>
  <si>
    <t>5.3.Представителни разходи - храна гости, подкрепящи напитки (кафе, чай, вода), цветя</t>
  </si>
  <si>
    <t>5.4.Други разходи - печати, удостоверения, поздравителни адреси, визитки, сувенири, др.подобни</t>
  </si>
  <si>
    <t>5.5.Разходи за стипендии и парични награди</t>
  </si>
  <si>
    <t>Общо разходи за група I:</t>
  </si>
  <si>
    <t>II. Финансови разходи</t>
  </si>
  <si>
    <t>1.Разходи за лихви</t>
  </si>
  <si>
    <t>2.Други разходи по финансови операции (банкови такси)</t>
  </si>
  <si>
    <t>Общо разходи за група II:</t>
  </si>
  <si>
    <t>III.Трансферни разходи</t>
  </si>
  <si>
    <t>1.Отчисления за бюджета на ЦО</t>
  </si>
  <si>
    <t>2.Други трансферни разходи</t>
  </si>
  <si>
    <t>Общо разходи за група III:</t>
  </si>
  <si>
    <t>В. Целеви субсидии от ЦО:</t>
  </si>
  <si>
    <t>1. Участие в УС</t>
  </si>
  <si>
    <t>2. Участие в редовно ОС</t>
  </si>
  <si>
    <t>3. Участие в заседания на КС</t>
  </si>
  <si>
    <t>4. Участие в заседания на КДП</t>
  </si>
  <si>
    <t>6. Комисии</t>
  </si>
  <si>
    <t>Общо разходи за група В</t>
  </si>
  <si>
    <t>ОБЩО РАЗХОДИ ОТ ОСНОВНА ДЕЙНОСТ (Б+В)</t>
  </si>
  <si>
    <t>контрола</t>
  </si>
  <si>
    <t>Г.Общо разлика (+/-) от основна дейност (А-Б-В)</t>
  </si>
  <si>
    <t>Налични към 01.01.2009 г.</t>
  </si>
  <si>
    <t>Налични пари в банки и каси</t>
  </si>
  <si>
    <t>Сума събрана през 2008 г. за 2009 г.(аванс членски внос)</t>
  </si>
  <si>
    <t>1.Субсидия от бюджета на ЦО</t>
  </si>
  <si>
    <t>1.Разходи за основен ремонт на ДМА</t>
  </si>
  <si>
    <t>2.Разходи за придобиване на ДМА - ПК и хардуер, сгради, транспортни средства, стопански инвентар</t>
  </si>
  <si>
    <t>3.Разходи за придобиване на НмДА - програмни продукти</t>
  </si>
  <si>
    <t>1. Каса</t>
  </si>
  <si>
    <t>3. Депозити</t>
  </si>
  <si>
    <t>2. Банка (разплащателна сметка (вкл.сума за чл.внос 2009)</t>
  </si>
  <si>
    <t>2.Субсидия от финансови резерви</t>
  </si>
  <si>
    <t>Д. Приходи от трансфер, в това число:</t>
  </si>
  <si>
    <t>Е. Капиталови разходи, в това число:</t>
  </si>
  <si>
    <t>А. Общо приходи от основна дейност (I+II+ III)</t>
  </si>
  <si>
    <t>Б. Разходи за основна дейност</t>
  </si>
  <si>
    <t>Б. Общо разходи от основна дейност     (I + II +III)</t>
  </si>
  <si>
    <t>5. Участие в заседания на ръководствата на НПС</t>
  </si>
  <si>
    <t>Ж. Финансов резултат (Г + Д - Е)</t>
  </si>
  <si>
    <t>5.6.Непредвидени</t>
  </si>
  <si>
    <t>2.9.Разходи за реклами, съобщения и др.</t>
  </si>
  <si>
    <t>разход</t>
  </si>
  <si>
    <t>ОФР</t>
  </si>
  <si>
    <t>контрола ОФР</t>
  </si>
  <si>
    <t>ЗАЯВЕН</t>
  </si>
  <si>
    <t>ФИНАНСОВИ РЕЗЕРВИ към 31.12.2008</t>
  </si>
  <si>
    <t xml:space="preserve">общо разходи от основна дейност на член от РК </t>
  </si>
  <si>
    <t>изп. 01-12</t>
  </si>
  <si>
    <t>Сума събрана през 2009 г. за 2010 г.(аванс членски внос)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</si>
</sst>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_ ;[Red]\-0\ "/>
    <numFmt numFmtId="186" formatCode="0.0_ ;[Red]\-0.0\ "/>
    <numFmt numFmtId="187" formatCode="0.00_ ;[Red]\-0.00\ "/>
    <numFmt numFmtId="188" formatCode="0.000"/>
    <numFmt numFmtId="189" formatCode="0.0000"/>
    <numFmt numFmtId="190" formatCode="0.00000"/>
  </numFmts>
  <fonts count="20">
    <font>
      <sz val="10"/>
      <name val="Arial"/>
      <family val="0"/>
    </font>
    <font>
      <b/>
      <sz val="16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i/>
      <sz val="12"/>
      <color indexed="63"/>
      <name val="Arial"/>
      <family val="0"/>
    </font>
    <font>
      <b/>
      <i/>
      <sz val="12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textRotation="90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4" borderId="1" xfId="0" applyFill="1" applyBorder="1" applyAlignment="1">
      <alignment textRotation="90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2" fontId="9" fillId="4" borderId="1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wrapText="1"/>
    </xf>
    <xf numFmtId="2" fontId="3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2" fontId="0" fillId="3" borderId="1" xfId="0" applyNumberForma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2" fontId="8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0" fillId="4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2" fontId="0" fillId="0" borderId="2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3" borderId="1" xfId="0" applyFont="1" applyFill="1" applyBorder="1" applyAlignment="1">
      <alignment textRotation="90"/>
    </xf>
    <xf numFmtId="0" fontId="12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5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7" fillId="3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11" fillId="4" borderId="0" xfId="0" applyFont="1" applyFill="1" applyAlignment="1">
      <alignment/>
    </xf>
    <xf numFmtId="0" fontId="11" fillId="4" borderId="1" xfId="0" applyFont="1" applyFill="1" applyBorder="1" applyAlignment="1">
      <alignment/>
    </xf>
    <xf numFmtId="0" fontId="16" fillId="3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4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1" fillId="0" borderId="1" xfId="0" applyFont="1" applyFill="1" applyBorder="1" applyAlignment="1">
      <alignment textRotation="90"/>
    </xf>
    <xf numFmtId="0" fontId="11" fillId="6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6" fillId="7" borderId="1" xfId="0" applyFont="1" applyFill="1" applyBorder="1" applyAlignment="1">
      <alignment/>
    </xf>
    <xf numFmtId="0" fontId="19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3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edy\users\KIIP\Budget_01_09_2009\raboten_21-28_L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9-03-24 (new format)"/>
      <sheetName val="Blagoevgrad"/>
      <sheetName val="Burgas"/>
      <sheetName val="VARNA"/>
      <sheetName val="V.TARNOVO"/>
      <sheetName val="VIDIN"/>
      <sheetName val="VRACA"/>
      <sheetName val="GABROVO"/>
      <sheetName val="DOBRICH"/>
      <sheetName val="KURDJALI"/>
      <sheetName val="KUSTENDIL"/>
      <sheetName val="LOVECH"/>
      <sheetName val="MONTANA"/>
      <sheetName val="PAZARDJIK"/>
      <sheetName val="PERNIK"/>
      <sheetName val="PLEVEN"/>
      <sheetName val="PLOVDIV"/>
      <sheetName val="RAZGRAD"/>
      <sheetName val="RUSE"/>
      <sheetName val="SILISTRA"/>
      <sheetName val="SLIVEN"/>
      <sheetName val="21SMOLIAN"/>
      <sheetName val="22ST.ZAGORA"/>
      <sheetName val="SOFIA-GRAD"/>
      <sheetName val="24SOFIA-OBLAST"/>
      <sheetName val="25TARGOVISCHTE"/>
      <sheetName val="26HASKOVO"/>
      <sheetName val="27SHUMEH"/>
      <sheetName val="28JAMBOL"/>
    </sheetNames>
    <sheetDataSet>
      <sheetData sheetId="0">
        <row r="3">
          <cell r="X3" t="str">
            <v>Стара Загора</v>
          </cell>
        </row>
        <row r="7">
          <cell r="X7">
            <v>376</v>
          </cell>
        </row>
        <row r="8">
          <cell r="X8">
            <v>67680</v>
          </cell>
        </row>
        <row r="9">
          <cell r="X9">
            <v>-11520</v>
          </cell>
        </row>
        <row r="12">
          <cell r="X12">
            <v>0</v>
          </cell>
        </row>
        <row r="13">
          <cell r="X13">
            <v>79200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79200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1">
          <cell r="X31">
            <v>79200</v>
          </cell>
        </row>
        <row r="40">
          <cell r="X40">
            <v>4000</v>
          </cell>
        </row>
        <row r="41">
          <cell r="X41">
            <v>500</v>
          </cell>
        </row>
        <row r="42">
          <cell r="X42">
            <v>2000</v>
          </cell>
        </row>
        <row r="43">
          <cell r="X43">
            <v>500</v>
          </cell>
        </row>
        <row r="44">
          <cell r="X44">
            <v>1000</v>
          </cell>
        </row>
        <row r="45">
          <cell r="X45">
            <v>25600</v>
          </cell>
        </row>
        <row r="46">
          <cell r="X46">
            <v>4200</v>
          </cell>
        </row>
        <row r="47">
          <cell r="X47">
            <v>0</v>
          </cell>
        </row>
        <row r="48">
          <cell r="X48">
            <v>3600</v>
          </cell>
        </row>
        <row r="49">
          <cell r="X49">
            <v>0</v>
          </cell>
        </row>
        <row r="50">
          <cell r="X50">
            <v>3000</v>
          </cell>
        </row>
        <row r="51">
          <cell r="X51">
            <v>0</v>
          </cell>
        </row>
        <row r="52">
          <cell r="X52">
            <v>14800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18500</v>
          </cell>
        </row>
        <row r="61">
          <cell r="X61">
            <v>18500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10000</v>
          </cell>
        </row>
        <row r="65">
          <cell r="X65">
            <v>1500</v>
          </cell>
        </row>
        <row r="66">
          <cell r="X66">
            <v>2500</v>
          </cell>
        </row>
        <row r="67">
          <cell r="X67">
            <v>1500</v>
          </cell>
        </row>
        <row r="68">
          <cell r="X68">
            <v>2500</v>
          </cell>
        </row>
        <row r="69">
          <cell r="X69">
            <v>2000</v>
          </cell>
        </row>
        <row r="70">
          <cell r="X70">
            <v>0</v>
          </cell>
        </row>
        <row r="71">
          <cell r="X71">
            <v>58100</v>
          </cell>
        </row>
        <row r="74">
          <cell r="X74">
            <v>0</v>
          </cell>
        </row>
        <row r="75">
          <cell r="X75">
            <v>300</v>
          </cell>
        </row>
        <row r="76">
          <cell r="X76">
            <v>300</v>
          </cell>
        </row>
        <row r="79">
          <cell r="X79">
            <v>19800</v>
          </cell>
        </row>
        <row r="80">
          <cell r="X80">
            <v>0</v>
          </cell>
        </row>
        <row r="81">
          <cell r="X81">
            <v>19800</v>
          </cell>
        </row>
        <row r="83">
          <cell r="X83">
            <v>78200</v>
          </cell>
        </row>
        <row r="86">
          <cell r="X86" t="str">
            <v> </v>
          </cell>
        </row>
        <row r="87">
          <cell r="X87" t="str">
            <v> </v>
          </cell>
        </row>
        <row r="88">
          <cell r="X88" t="str">
            <v> </v>
          </cell>
        </row>
        <row r="89">
          <cell r="X89" t="str">
            <v> </v>
          </cell>
        </row>
        <row r="90">
          <cell r="X90" t="str">
            <v> </v>
          </cell>
        </row>
        <row r="92">
          <cell r="X92">
            <v>0</v>
          </cell>
        </row>
        <row r="94">
          <cell r="X94">
            <v>78200</v>
          </cell>
        </row>
        <row r="96">
          <cell r="X96">
            <v>207.9787234042553</v>
          </cell>
        </row>
        <row r="98">
          <cell r="X98">
            <v>1000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4">
          <cell r="X104">
            <v>1000</v>
          </cell>
        </row>
        <row r="105">
          <cell r="X105">
            <v>0</v>
          </cell>
        </row>
        <row r="106">
          <cell r="X106">
            <v>1000</v>
          </cell>
        </row>
        <row r="107">
          <cell r="X107">
            <v>0</v>
          </cell>
        </row>
        <row r="109">
          <cell r="X109">
            <v>0</v>
          </cell>
        </row>
        <row r="113">
          <cell r="X113">
            <v>85695.39</v>
          </cell>
        </row>
        <row r="114">
          <cell r="X114">
            <v>788.48</v>
          </cell>
        </row>
        <row r="115">
          <cell r="X115">
            <v>60176.18</v>
          </cell>
        </row>
        <row r="116">
          <cell r="X116">
            <v>24730.73</v>
          </cell>
        </row>
        <row r="118">
          <cell r="X118">
            <v>68566</v>
          </cell>
        </row>
        <row r="119">
          <cell r="X119">
            <v>68566</v>
          </cell>
        </row>
        <row r="120">
          <cell r="X120">
            <v>0</v>
          </cell>
        </row>
        <row r="122">
          <cell r="X122">
            <v>17129.39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6"/>
  <sheetViews>
    <sheetView view="pageBreakPreview" zoomScale="75" zoomScaleNormal="50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" sqref="C9"/>
    </sheetView>
  </sheetViews>
  <sheetFormatPr defaultColWidth="9.140625" defaultRowHeight="12.75"/>
  <cols>
    <col min="1" max="1" width="60.140625" style="1" customWidth="1"/>
    <col min="2" max="2" width="11.00390625" style="1" customWidth="1"/>
    <col min="3" max="3" width="11.57421875" style="48" customWidth="1"/>
    <col min="4" max="5" width="12.140625" style="33" customWidth="1"/>
    <col min="6" max="6" width="11.00390625" style="33" customWidth="1"/>
    <col min="7" max="7" width="11.00390625" style="48" customWidth="1"/>
    <col min="8" max="8" width="11.00390625" style="33" customWidth="1"/>
    <col min="9" max="9" width="11.00390625" style="48" customWidth="1"/>
    <col min="10" max="11" width="11.00390625" style="33" customWidth="1"/>
    <col min="12" max="13" width="11.00390625" style="48" customWidth="1"/>
    <col min="14" max="14" width="11.00390625" style="33" customWidth="1"/>
    <col min="15" max="15" width="11.57421875" style="48" customWidth="1"/>
    <col min="16" max="16" width="11.00390625" style="33" customWidth="1"/>
    <col min="17" max="18" width="11.140625" style="33" customWidth="1"/>
    <col min="19" max="19" width="12.28125" style="48" customWidth="1"/>
    <col min="20" max="20" width="11.7109375" style="33" customWidth="1"/>
    <col min="21" max="22" width="11.140625" style="48" customWidth="1"/>
    <col min="23" max="24" width="11.140625" style="33" customWidth="1"/>
    <col min="25" max="25" width="12.28125" style="33" customWidth="1"/>
    <col min="26" max="26" width="11.140625" style="48" customWidth="1"/>
    <col min="27" max="27" width="10.57421875" style="33" customWidth="1"/>
    <col min="28" max="29" width="11.140625" style="33" customWidth="1"/>
    <col min="30" max="30" width="11.140625" style="33" bestFit="1" customWidth="1"/>
    <col min="31" max="31" width="13.421875" style="33" bestFit="1" customWidth="1"/>
    <col min="32" max="32" width="12.28125" style="33" bestFit="1" customWidth="1"/>
    <col min="33" max="33" width="12.8515625" style="33" customWidth="1"/>
    <col min="34" max="34" width="17.421875" style="1" hidden="1" customWidth="1"/>
    <col min="35" max="35" width="12.8515625" style="1" customWidth="1"/>
    <col min="36" max="16384" width="9.140625" style="1" customWidth="1"/>
  </cols>
  <sheetData>
    <row r="1" spans="1:20" ht="20.25">
      <c r="A1" s="47"/>
      <c r="B1" s="47"/>
      <c r="Q1" s="61" t="s">
        <v>129</v>
      </c>
      <c r="R1" s="61"/>
      <c r="S1" s="61" t="s">
        <v>0</v>
      </c>
      <c r="T1" s="1"/>
    </row>
    <row r="2" spans="17:20" ht="12.75">
      <c r="Q2" s="1"/>
      <c r="R2" s="1"/>
      <c r="S2" s="1"/>
      <c r="T2" s="1"/>
    </row>
    <row r="3" spans="1:33" ht="72.75" customHeight="1">
      <c r="A3" s="2"/>
      <c r="B3" s="3" t="s">
        <v>1</v>
      </c>
      <c r="C3" s="4" t="s">
        <v>2</v>
      </c>
      <c r="D3" s="34" t="s">
        <v>3</v>
      </c>
      <c r="E3" s="34" t="s">
        <v>4</v>
      </c>
      <c r="F3" s="34" t="s">
        <v>5</v>
      </c>
      <c r="G3" s="4" t="s">
        <v>6</v>
      </c>
      <c r="H3" s="34" t="s">
        <v>7</v>
      </c>
      <c r="I3" s="4" t="s">
        <v>8</v>
      </c>
      <c r="J3" s="34" t="s">
        <v>9</v>
      </c>
      <c r="K3" s="34" t="s">
        <v>10</v>
      </c>
      <c r="L3" s="4" t="s">
        <v>11</v>
      </c>
      <c r="M3" s="4" t="s">
        <v>12</v>
      </c>
      <c r="N3" s="34" t="s">
        <v>13</v>
      </c>
      <c r="O3" s="4" t="s">
        <v>14</v>
      </c>
      <c r="P3" s="34" t="s">
        <v>15</v>
      </c>
      <c r="Q3" s="34" t="s">
        <v>16</v>
      </c>
      <c r="R3" s="34" t="s">
        <v>17</v>
      </c>
      <c r="S3" s="4" t="s">
        <v>18</v>
      </c>
      <c r="T3" s="34" t="s">
        <v>19</v>
      </c>
      <c r="U3" s="4" t="s">
        <v>20</v>
      </c>
      <c r="V3" s="4" t="s">
        <v>21</v>
      </c>
      <c r="W3" s="34" t="s">
        <v>22</v>
      </c>
      <c r="X3" s="34" t="s">
        <v>25</v>
      </c>
      <c r="Y3" s="34" t="s">
        <v>23</v>
      </c>
      <c r="Z3" s="4" t="s">
        <v>24</v>
      </c>
      <c r="AA3" s="34" t="s">
        <v>26</v>
      </c>
      <c r="AB3" s="34" t="s">
        <v>27</v>
      </c>
      <c r="AC3" s="34" t="s">
        <v>28</v>
      </c>
      <c r="AD3" s="34" t="s">
        <v>29</v>
      </c>
      <c r="AE3" s="34" t="s">
        <v>30</v>
      </c>
      <c r="AF3" s="34" t="s">
        <v>31</v>
      </c>
      <c r="AG3" s="34" t="s">
        <v>32</v>
      </c>
    </row>
    <row r="4" spans="1:33" ht="12.75">
      <c r="A4" s="107" t="s">
        <v>33</v>
      </c>
      <c r="B4" s="5"/>
      <c r="C4" s="45"/>
      <c r="D4" s="35"/>
      <c r="E4" s="35"/>
      <c r="F4" s="35"/>
      <c r="G4" s="45"/>
      <c r="H4" s="35"/>
      <c r="I4" s="45"/>
      <c r="J4" s="35"/>
      <c r="K4" s="35"/>
      <c r="L4" s="45"/>
      <c r="M4" s="45"/>
      <c r="N4" s="35"/>
      <c r="O4" s="45"/>
      <c r="P4" s="35"/>
      <c r="Q4" s="35"/>
      <c r="R4" s="35"/>
      <c r="S4" s="45"/>
      <c r="T4" s="35"/>
      <c r="U4" s="45"/>
      <c r="V4" s="45"/>
      <c r="W4" s="35"/>
      <c r="X4" s="35"/>
      <c r="Y4" s="35"/>
      <c r="Z4" s="45"/>
      <c r="AA4" s="35"/>
      <c r="AB4" s="35"/>
      <c r="AC4" s="35"/>
      <c r="AD4" s="35"/>
      <c r="AE4" s="35"/>
      <c r="AF4" s="35"/>
      <c r="AG4" s="35"/>
    </row>
    <row r="5" spans="1:33" ht="12.75">
      <c r="A5" s="107"/>
      <c r="B5" s="5"/>
      <c r="C5" s="45"/>
      <c r="D5" s="35"/>
      <c r="E5" s="35"/>
      <c r="F5" s="35"/>
      <c r="G5" s="45"/>
      <c r="H5" s="35"/>
      <c r="I5" s="45"/>
      <c r="J5" s="35"/>
      <c r="K5" s="35"/>
      <c r="L5" s="45"/>
      <c r="M5" s="45"/>
      <c r="N5" s="35"/>
      <c r="O5" s="45"/>
      <c r="P5" s="35"/>
      <c r="Q5" s="35"/>
      <c r="R5" s="35"/>
      <c r="S5" s="45"/>
      <c r="T5" s="35"/>
      <c r="U5" s="45"/>
      <c r="V5" s="45"/>
      <c r="W5" s="35"/>
      <c r="X5" s="35"/>
      <c r="Y5" s="35"/>
      <c r="Z5" s="45"/>
      <c r="AA5" s="35"/>
      <c r="AB5" s="35"/>
      <c r="AC5" s="35"/>
      <c r="AD5" s="35"/>
      <c r="AE5" s="35"/>
      <c r="AF5" s="35"/>
      <c r="AG5" s="35"/>
    </row>
    <row r="6" spans="1:33" ht="12.75">
      <c r="A6" s="6"/>
      <c r="B6" s="5"/>
      <c r="C6" s="45">
        <v>8</v>
      </c>
      <c r="D6" s="35"/>
      <c r="E6" s="35">
        <v>7</v>
      </c>
      <c r="F6" s="35">
        <v>3</v>
      </c>
      <c r="G6" s="45">
        <v>7</v>
      </c>
      <c r="H6" s="35"/>
      <c r="I6" s="45">
        <v>6</v>
      </c>
      <c r="J6" s="35"/>
      <c r="K6" s="35">
        <v>5</v>
      </c>
      <c r="L6" s="45"/>
      <c r="M6" s="45"/>
      <c r="N6" s="35"/>
      <c r="O6" s="45"/>
      <c r="P6" s="35"/>
      <c r="Q6" s="35"/>
      <c r="R6" s="35"/>
      <c r="S6" s="45"/>
      <c r="T6" s="35"/>
      <c r="U6" s="45"/>
      <c r="V6" s="45"/>
      <c r="W6" s="35"/>
      <c r="X6" s="35"/>
      <c r="Y6" s="35">
        <v>71</v>
      </c>
      <c r="Z6" s="45"/>
      <c r="AA6" s="35"/>
      <c r="AB6" s="35"/>
      <c r="AC6" s="35"/>
      <c r="AD6" s="35"/>
      <c r="AE6" s="51">
        <f>SUM(C6:AD6)</f>
        <v>107</v>
      </c>
      <c r="AF6" s="35"/>
      <c r="AG6" s="35"/>
    </row>
    <row r="7" spans="1:33" ht="12.75">
      <c r="A7" s="6" t="s">
        <v>34</v>
      </c>
      <c r="B7" s="5"/>
      <c r="C7" s="45">
        <f>205+86</f>
        <v>291</v>
      </c>
      <c r="D7" s="35">
        <f>527+152</f>
        <v>679</v>
      </c>
      <c r="E7" s="35">
        <f>632+219</f>
        <v>851</v>
      </c>
      <c r="F7" s="35">
        <f>201+68</f>
        <v>269</v>
      </c>
      <c r="G7" s="45">
        <v>76</v>
      </c>
      <c r="H7" s="35">
        <f>67+14</f>
        <v>81</v>
      </c>
      <c r="I7" s="45">
        <f>85+33</f>
        <v>118</v>
      </c>
      <c r="J7" s="35">
        <f>104+50</f>
        <v>154</v>
      </c>
      <c r="K7" s="35">
        <f>78+37</f>
        <v>115</v>
      </c>
      <c r="L7" s="45">
        <f>79+35</f>
        <v>114</v>
      </c>
      <c r="M7" s="45">
        <f>80+20</f>
        <v>100</v>
      </c>
      <c r="N7" s="35">
        <f>52+41</f>
        <v>93</v>
      </c>
      <c r="O7" s="45">
        <f>137+70</f>
        <v>207</v>
      </c>
      <c r="P7" s="35">
        <f>89+23</f>
        <v>112</v>
      </c>
      <c r="Q7" s="35">
        <f>175+41</f>
        <v>216</v>
      </c>
      <c r="R7" s="35">
        <f>668+137</f>
        <v>805</v>
      </c>
      <c r="S7" s="45">
        <f>68+15</f>
        <v>83</v>
      </c>
      <c r="T7" s="35">
        <f>208+27</f>
        <v>235</v>
      </c>
      <c r="U7" s="45">
        <f>50+26</f>
        <v>76</v>
      </c>
      <c r="V7" s="45">
        <f>92+55</f>
        <v>147</v>
      </c>
      <c r="W7" s="35">
        <f>105+36</f>
        <v>141</v>
      </c>
      <c r="X7" s="35">
        <f>326+50</f>
        <v>376</v>
      </c>
      <c r="Y7" s="35">
        <f>4409+349</f>
        <v>4758</v>
      </c>
      <c r="Z7" s="45">
        <f>131+18</f>
        <v>149</v>
      </c>
      <c r="AA7" s="35">
        <v>52</v>
      </c>
      <c r="AB7" s="35">
        <f>185+58</f>
        <v>243</v>
      </c>
      <c r="AC7" s="35">
        <f>106+16</f>
        <v>122</v>
      </c>
      <c r="AD7" s="35">
        <v>140</v>
      </c>
      <c r="AE7" s="51">
        <f>SUM(C7:AD7)</f>
        <v>10803</v>
      </c>
      <c r="AF7" s="35"/>
      <c r="AG7" s="35"/>
    </row>
    <row r="8" spans="1:33" ht="12.75">
      <c r="A8" s="6" t="s">
        <v>35</v>
      </c>
      <c r="B8" s="5"/>
      <c r="C8" s="31">
        <f aca="true" t="shared" si="0" ref="C8:AD8">C7*180</f>
        <v>52380</v>
      </c>
      <c r="D8" s="36">
        <f t="shared" si="0"/>
        <v>122220</v>
      </c>
      <c r="E8" s="36">
        <f t="shared" si="0"/>
        <v>153180</v>
      </c>
      <c r="F8" s="36">
        <f t="shared" si="0"/>
        <v>48420</v>
      </c>
      <c r="G8" s="31">
        <f t="shared" si="0"/>
        <v>13680</v>
      </c>
      <c r="H8" s="36">
        <f t="shared" si="0"/>
        <v>14580</v>
      </c>
      <c r="I8" s="31">
        <f t="shared" si="0"/>
        <v>21240</v>
      </c>
      <c r="J8" s="36">
        <f t="shared" si="0"/>
        <v>27720</v>
      </c>
      <c r="K8" s="36">
        <f t="shared" si="0"/>
        <v>20700</v>
      </c>
      <c r="L8" s="31">
        <f t="shared" si="0"/>
        <v>20520</v>
      </c>
      <c r="M8" s="31">
        <f t="shared" si="0"/>
        <v>18000</v>
      </c>
      <c r="N8" s="36">
        <f t="shared" si="0"/>
        <v>16740</v>
      </c>
      <c r="O8" s="31">
        <f t="shared" si="0"/>
        <v>37260</v>
      </c>
      <c r="P8" s="36">
        <f t="shared" si="0"/>
        <v>20160</v>
      </c>
      <c r="Q8" s="36">
        <f t="shared" si="0"/>
        <v>38880</v>
      </c>
      <c r="R8" s="36">
        <f t="shared" si="0"/>
        <v>144900</v>
      </c>
      <c r="S8" s="31">
        <f t="shared" si="0"/>
        <v>14940</v>
      </c>
      <c r="T8" s="36">
        <f t="shared" si="0"/>
        <v>42300</v>
      </c>
      <c r="U8" s="31">
        <f t="shared" si="0"/>
        <v>13680</v>
      </c>
      <c r="V8" s="31">
        <f t="shared" si="0"/>
        <v>26460</v>
      </c>
      <c r="W8" s="36">
        <f t="shared" si="0"/>
        <v>25380</v>
      </c>
      <c r="X8" s="36">
        <f t="shared" si="0"/>
        <v>67680</v>
      </c>
      <c r="Y8" s="36">
        <f t="shared" si="0"/>
        <v>856440</v>
      </c>
      <c r="Z8" s="31">
        <f t="shared" si="0"/>
        <v>26820</v>
      </c>
      <c r="AA8" s="36">
        <f t="shared" si="0"/>
        <v>9360</v>
      </c>
      <c r="AB8" s="36">
        <f t="shared" si="0"/>
        <v>43740</v>
      </c>
      <c r="AC8" s="36">
        <f t="shared" si="0"/>
        <v>21960</v>
      </c>
      <c r="AD8" s="36">
        <f t="shared" si="0"/>
        <v>25200</v>
      </c>
      <c r="AE8" s="38">
        <f>SUM(C8:AD8)</f>
        <v>1944540</v>
      </c>
      <c r="AF8" s="35"/>
      <c r="AG8" s="35"/>
    </row>
    <row r="9" spans="1:35" ht="12.75">
      <c r="A9" s="7"/>
      <c r="B9" s="8"/>
      <c r="C9" s="31">
        <f>C8-C17</f>
        <v>7080</v>
      </c>
      <c r="D9" s="36">
        <f>D8-D17</f>
        <v>-27780</v>
      </c>
      <c r="E9" s="36">
        <f aca="true" t="shared" si="1" ref="E9:L9">E8-E17</f>
        <v>-3630</v>
      </c>
      <c r="F9" s="36">
        <f t="shared" si="1"/>
        <v>-5289.470000000001</v>
      </c>
      <c r="G9" s="31">
        <f t="shared" si="1"/>
        <v>-2922</v>
      </c>
      <c r="H9" s="36">
        <f t="shared" si="1"/>
        <v>-2520</v>
      </c>
      <c r="I9" s="31">
        <f t="shared" si="1"/>
        <v>812</v>
      </c>
      <c r="J9" s="36">
        <f t="shared" si="1"/>
        <v>-1080</v>
      </c>
      <c r="K9" s="36">
        <f t="shared" si="1"/>
        <v>-1020</v>
      </c>
      <c r="L9" s="31">
        <f t="shared" si="1"/>
        <v>-1480</v>
      </c>
      <c r="M9" s="31">
        <f aca="true" t="shared" si="2" ref="M9:AD9">M8-M17</f>
        <v>0</v>
      </c>
      <c r="N9" s="36">
        <f t="shared" si="2"/>
        <v>-2805</v>
      </c>
      <c r="O9" s="31">
        <f t="shared" si="2"/>
        <v>-5220</v>
      </c>
      <c r="P9" s="36">
        <f t="shared" si="2"/>
        <v>-5235</v>
      </c>
      <c r="Q9" s="36">
        <f t="shared" si="2"/>
        <v>-6295</v>
      </c>
      <c r="R9" s="36">
        <f t="shared" si="2"/>
        <v>-24330</v>
      </c>
      <c r="S9" s="31">
        <f t="shared" si="2"/>
        <v>-1625</v>
      </c>
      <c r="T9" s="36">
        <f t="shared" si="2"/>
        <v>-4890</v>
      </c>
      <c r="U9" s="31">
        <f t="shared" si="2"/>
        <v>-270</v>
      </c>
      <c r="V9" s="31">
        <f t="shared" si="2"/>
        <v>-2940</v>
      </c>
      <c r="W9" s="36">
        <f t="shared" si="2"/>
        <v>-4590</v>
      </c>
      <c r="X9" s="36">
        <f t="shared" si="2"/>
        <v>-11520</v>
      </c>
      <c r="Y9" s="36">
        <f t="shared" si="2"/>
        <v>6440</v>
      </c>
      <c r="Z9" s="31">
        <f t="shared" si="2"/>
        <v>-11340</v>
      </c>
      <c r="AA9" s="36">
        <f t="shared" si="2"/>
        <v>-1650</v>
      </c>
      <c r="AB9" s="36">
        <f t="shared" si="2"/>
        <v>-7490</v>
      </c>
      <c r="AC9" s="36">
        <f t="shared" si="2"/>
        <v>-555</v>
      </c>
      <c r="AD9" s="36">
        <f t="shared" si="2"/>
        <v>-300</v>
      </c>
      <c r="AE9" s="38">
        <f>AE17-AE8</f>
        <v>122444.46999999997</v>
      </c>
      <c r="AF9" s="35"/>
      <c r="AG9" s="35"/>
      <c r="AI9" s="9"/>
    </row>
    <row r="10" spans="1:33" ht="12.75">
      <c r="A10" s="10" t="s">
        <v>36</v>
      </c>
      <c r="B10" s="11"/>
      <c r="C10" s="45"/>
      <c r="D10" s="35"/>
      <c r="E10" s="35"/>
      <c r="F10" s="35"/>
      <c r="G10" s="45"/>
      <c r="H10" s="35"/>
      <c r="I10" s="45"/>
      <c r="J10" s="35"/>
      <c r="K10" s="35"/>
      <c r="L10" s="45"/>
      <c r="M10" s="45"/>
      <c r="N10" s="35"/>
      <c r="O10" s="45"/>
      <c r="P10" s="35"/>
      <c r="Q10" s="35"/>
      <c r="R10" s="35"/>
      <c r="S10" s="45"/>
      <c r="T10" s="35"/>
      <c r="U10" s="45"/>
      <c r="V10" s="45"/>
      <c r="W10" s="35"/>
      <c r="X10" s="35"/>
      <c r="Y10" s="35"/>
      <c r="Z10" s="45"/>
      <c r="AA10" s="35"/>
      <c r="AB10" s="35"/>
      <c r="AC10" s="35"/>
      <c r="AD10" s="35"/>
      <c r="AE10" s="35"/>
      <c r="AF10" s="35"/>
      <c r="AG10" s="35"/>
    </row>
    <row r="11" spans="1:33" ht="12.75">
      <c r="A11" s="12" t="s">
        <v>37</v>
      </c>
      <c r="B11" s="13"/>
      <c r="C11" s="45"/>
      <c r="D11" s="35" t="s">
        <v>38</v>
      </c>
      <c r="E11" s="35"/>
      <c r="F11" s="35"/>
      <c r="G11" s="45"/>
      <c r="H11" s="35"/>
      <c r="I11" s="45"/>
      <c r="J11" s="35"/>
      <c r="K11" s="35"/>
      <c r="L11" s="45"/>
      <c r="M11" s="45"/>
      <c r="N11" s="35"/>
      <c r="O11" s="45"/>
      <c r="P11" s="35"/>
      <c r="Q11" s="35"/>
      <c r="R11" s="35"/>
      <c r="S11" s="45"/>
      <c r="T11" s="35"/>
      <c r="U11" s="45"/>
      <c r="V11" s="45"/>
      <c r="W11" s="35"/>
      <c r="X11" s="35"/>
      <c r="Y11" s="35"/>
      <c r="Z11" s="45"/>
      <c r="AA11" s="35"/>
      <c r="AB11" s="35"/>
      <c r="AC11" s="35"/>
      <c r="AD11" s="35"/>
      <c r="AE11" s="35"/>
      <c r="AF11" s="35"/>
      <c r="AG11" s="35"/>
    </row>
    <row r="12" spans="1:33" ht="12.75">
      <c r="A12" s="14" t="s">
        <v>39</v>
      </c>
      <c r="B12" s="15">
        <v>704</v>
      </c>
      <c r="C12" s="31">
        <v>0</v>
      </c>
      <c r="D12" s="36">
        <v>0</v>
      </c>
      <c r="E12" s="36">
        <v>3000</v>
      </c>
      <c r="F12" s="36">
        <v>3300</v>
      </c>
      <c r="G12" s="31">
        <v>2022</v>
      </c>
      <c r="H12" s="36">
        <v>900</v>
      </c>
      <c r="I12" s="31">
        <v>0</v>
      </c>
      <c r="J12" s="36">
        <v>0</v>
      </c>
      <c r="K12" s="36">
        <v>750</v>
      </c>
      <c r="L12" s="31">
        <v>1000</v>
      </c>
      <c r="M12" s="31">
        <v>0</v>
      </c>
      <c r="N12" s="36">
        <v>990</v>
      </c>
      <c r="O12" s="31">
        <v>0</v>
      </c>
      <c r="P12" s="36">
        <v>1500</v>
      </c>
      <c r="Q12" s="36">
        <v>2970</v>
      </c>
      <c r="R12" s="36">
        <v>4500</v>
      </c>
      <c r="S12" s="31">
        <v>1650</v>
      </c>
      <c r="T12" s="36">
        <v>150</v>
      </c>
      <c r="U12" s="31">
        <v>450</v>
      </c>
      <c r="V12" s="31">
        <v>3300</v>
      </c>
      <c r="W12" s="36">
        <v>1980</v>
      </c>
      <c r="X12" s="36">
        <v>0</v>
      </c>
      <c r="Y12" s="36">
        <v>0</v>
      </c>
      <c r="Z12" s="31">
        <v>4500</v>
      </c>
      <c r="AA12" s="36">
        <v>1650</v>
      </c>
      <c r="AB12" s="36">
        <v>3000</v>
      </c>
      <c r="AC12" s="36">
        <v>600</v>
      </c>
      <c r="AD12" s="36">
        <v>700</v>
      </c>
      <c r="AE12" s="36">
        <f aca="true" t="shared" si="3" ref="AE12:AE17">SUM(C12:AD12)</f>
        <v>38912</v>
      </c>
      <c r="AF12" s="35"/>
      <c r="AG12" s="35"/>
    </row>
    <row r="13" spans="1:33" ht="12.75">
      <c r="A13" s="14" t="s">
        <v>40</v>
      </c>
      <c r="B13" s="15">
        <v>704</v>
      </c>
      <c r="C13" s="49">
        <v>45000</v>
      </c>
      <c r="D13" s="37">
        <v>150000</v>
      </c>
      <c r="E13" s="37">
        <v>153810</v>
      </c>
      <c r="F13" s="37">
        <v>50409.47</v>
      </c>
      <c r="G13" s="49">
        <v>9000</v>
      </c>
      <c r="H13" s="37">
        <v>12960</v>
      </c>
      <c r="I13" s="49">
        <v>14278</v>
      </c>
      <c r="J13" s="37">
        <v>28800</v>
      </c>
      <c r="K13" s="37">
        <v>14040</v>
      </c>
      <c r="L13" s="49">
        <v>15000</v>
      </c>
      <c r="M13" s="49">
        <v>18000</v>
      </c>
      <c r="N13" s="37">
        <v>12690</v>
      </c>
      <c r="O13" s="49">
        <v>42480</v>
      </c>
      <c r="P13" s="37">
        <v>23895</v>
      </c>
      <c r="Q13" s="37">
        <v>42205</v>
      </c>
      <c r="R13" s="37">
        <v>163980</v>
      </c>
      <c r="S13" s="49">
        <v>14670</v>
      </c>
      <c r="T13" s="37">
        <v>38610</v>
      </c>
      <c r="U13" s="49">
        <f>7560/0.75</f>
        <v>10080</v>
      </c>
      <c r="V13" s="49">
        <v>26100</v>
      </c>
      <c r="W13" s="37">
        <v>19440</v>
      </c>
      <c r="X13" s="37">
        <v>79200</v>
      </c>
      <c r="Y13" s="37">
        <v>850000</v>
      </c>
      <c r="Z13" s="49">
        <v>33552</v>
      </c>
      <c r="AA13" s="37">
        <v>9360</v>
      </c>
      <c r="AB13" s="37">
        <v>32940</v>
      </c>
      <c r="AC13" s="37">
        <v>21600</v>
      </c>
      <c r="AD13" s="37">
        <v>21200</v>
      </c>
      <c r="AE13" s="36">
        <f t="shared" si="3"/>
        <v>1953299.47</v>
      </c>
      <c r="AF13" s="35"/>
      <c r="AG13" s="35"/>
    </row>
    <row r="14" spans="1:33" ht="12.75">
      <c r="A14" s="14" t="s">
        <v>41</v>
      </c>
      <c r="B14" s="15">
        <v>704</v>
      </c>
      <c r="C14" s="49">
        <v>0</v>
      </c>
      <c r="D14" s="37">
        <v>0</v>
      </c>
      <c r="E14" s="37">
        <v>0</v>
      </c>
      <c r="F14" s="37">
        <v>0</v>
      </c>
      <c r="G14" s="49">
        <v>5580</v>
      </c>
      <c r="H14" s="37">
        <v>3240</v>
      </c>
      <c r="I14" s="49">
        <v>5940</v>
      </c>
      <c r="J14" s="37">
        <v>0</v>
      </c>
      <c r="K14" s="37">
        <v>6780</v>
      </c>
      <c r="L14" s="49">
        <v>6000</v>
      </c>
      <c r="M14" s="49">
        <v>0</v>
      </c>
      <c r="N14" s="37">
        <v>5400</v>
      </c>
      <c r="O14" s="49">
        <v>0</v>
      </c>
      <c r="P14" s="37">
        <v>0</v>
      </c>
      <c r="Q14" s="37">
        <v>0</v>
      </c>
      <c r="R14" s="37">
        <v>0</v>
      </c>
      <c r="S14" s="49">
        <v>0</v>
      </c>
      <c r="T14" s="37">
        <v>8280</v>
      </c>
      <c r="U14" s="49">
        <f>2565/0.75</f>
        <v>3420</v>
      </c>
      <c r="V14" s="49">
        <v>0</v>
      </c>
      <c r="W14" s="37">
        <v>8550</v>
      </c>
      <c r="X14" s="37">
        <v>0</v>
      </c>
      <c r="Y14" s="37">
        <v>0</v>
      </c>
      <c r="Z14" s="49">
        <v>0</v>
      </c>
      <c r="AA14" s="37">
        <v>0</v>
      </c>
      <c r="AB14" s="37">
        <v>14940</v>
      </c>
      <c r="AC14" s="37">
        <v>0</v>
      </c>
      <c r="AD14" s="37">
        <v>3600</v>
      </c>
      <c r="AE14" s="36">
        <f t="shared" si="3"/>
        <v>71730</v>
      </c>
      <c r="AF14" s="35"/>
      <c r="AG14" s="35"/>
    </row>
    <row r="15" spans="1:33" ht="12.75">
      <c r="A15" s="14" t="s">
        <v>42</v>
      </c>
      <c r="B15" s="15">
        <v>704</v>
      </c>
      <c r="C15" s="31">
        <v>300</v>
      </c>
      <c r="D15" s="36">
        <v>0</v>
      </c>
      <c r="E15" s="36">
        <v>0</v>
      </c>
      <c r="F15" s="36">
        <v>0</v>
      </c>
      <c r="G15" s="31">
        <v>0</v>
      </c>
      <c r="H15" s="36">
        <v>0</v>
      </c>
      <c r="I15" s="31">
        <v>0</v>
      </c>
      <c r="J15" s="36">
        <v>0</v>
      </c>
      <c r="K15" s="36">
        <v>150</v>
      </c>
      <c r="L15" s="31">
        <v>0</v>
      </c>
      <c r="M15" s="31">
        <v>0</v>
      </c>
      <c r="N15" s="36">
        <v>150</v>
      </c>
      <c r="O15" s="31">
        <v>0</v>
      </c>
      <c r="P15" s="36">
        <v>0</v>
      </c>
      <c r="Q15" s="36">
        <v>0</v>
      </c>
      <c r="R15" s="36">
        <v>750</v>
      </c>
      <c r="S15" s="31">
        <v>0</v>
      </c>
      <c r="T15" s="36">
        <v>150</v>
      </c>
      <c r="U15" s="31">
        <v>0</v>
      </c>
      <c r="V15" s="31">
        <v>0</v>
      </c>
      <c r="W15" s="36">
        <v>0</v>
      </c>
      <c r="X15" s="36">
        <v>0</v>
      </c>
      <c r="Y15" s="36">
        <v>0</v>
      </c>
      <c r="Z15" s="31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f t="shared" si="3"/>
        <v>1500</v>
      </c>
      <c r="AF15" s="35"/>
      <c r="AG15" s="35"/>
    </row>
    <row r="16" spans="1:33" ht="12.75">
      <c r="A16" s="14" t="s">
        <v>43</v>
      </c>
      <c r="B16" s="15">
        <v>704</v>
      </c>
      <c r="C16" s="31">
        <v>0</v>
      </c>
      <c r="D16" s="36">
        <v>0</v>
      </c>
      <c r="E16" s="36">
        <v>0</v>
      </c>
      <c r="F16" s="36">
        <v>0</v>
      </c>
      <c r="G16" s="31">
        <v>0</v>
      </c>
      <c r="H16" s="36">
        <v>0</v>
      </c>
      <c r="I16" s="31">
        <v>210</v>
      </c>
      <c r="J16" s="36">
        <v>0</v>
      </c>
      <c r="K16" s="36">
        <v>0</v>
      </c>
      <c r="L16" s="31">
        <v>0</v>
      </c>
      <c r="M16" s="31">
        <v>0</v>
      </c>
      <c r="N16" s="36">
        <v>315</v>
      </c>
      <c r="O16" s="31">
        <v>0</v>
      </c>
      <c r="P16" s="36">
        <v>0</v>
      </c>
      <c r="Q16" s="36">
        <v>0</v>
      </c>
      <c r="R16" s="36">
        <v>0</v>
      </c>
      <c r="S16" s="31">
        <v>245</v>
      </c>
      <c r="T16" s="36">
        <v>0</v>
      </c>
      <c r="U16" s="31">
        <v>0</v>
      </c>
      <c r="V16" s="31">
        <v>0</v>
      </c>
      <c r="W16" s="36">
        <v>0</v>
      </c>
      <c r="X16" s="36">
        <v>0</v>
      </c>
      <c r="Y16" s="36">
        <v>0</v>
      </c>
      <c r="Z16" s="31">
        <v>108</v>
      </c>
      <c r="AA16" s="36">
        <v>0</v>
      </c>
      <c r="AB16" s="36">
        <v>350</v>
      </c>
      <c r="AC16" s="36">
        <v>315</v>
      </c>
      <c r="AD16" s="36">
        <v>0</v>
      </c>
      <c r="AE16" s="36">
        <f t="shared" si="3"/>
        <v>1543</v>
      </c>
      <c r="AF16" s="35"/>
      <c r="AG16" s="35"/>
    </row>
    <row r="17" spans="1:33" ht="12.75">
      <c r="A17" s="16" t="s">
        <v>44</v>
      </c>
      <c r="B17" s="17"/>
      <c r="C17" s="20">
        <f aca="true" t="shared" si="4" ref="C17:AD17">SUM(C12:C16)</f>
        <v>45300</v>
      </c>
      <c r="D17" s="38">
        <f t="shared" si="4"/>
        <v>150000</v>
      </c>
      <c r="E17" s="38">
        <f t="shared" si="4"/>
        <v>156810</v>
      </c>
      <c r="F17" s="38">
        <f t="shared" si="4"/>
        <v>53709.47</v>
      </c>
      <c r="G17" s="20">
        <f t="shared" si="4"/>
        <v>16602</v>
      </c>
      <c r="H17" s="38">
        <f t="shared" si="4"/>
        <v>17100</v>
      </c>
      <c r="I17" s="20">
        <f t="shared" si="4"/>
        <v>20428</v>
      </c>
      <c r="J17" s="38">
        <f t="shared" si="4"/>
        <v>28800</v>
      </c>
      <c r="K17" s="38">
        <f t="shared" si="4"/>
        <v>21720</v>
      </c>
      <c r="L17" s="20">
        <f t="shared" si="4"/>
        <v>22000</v>
      </c>
      <c r="M17" s="20">
        <f t="shared" si="4"/>
        <v>18000</v>
      </c>
      <c r="N17" s="38">
        <f t="shared" si="4"/>
        <v>19545</v>
      </c>
      <c r="O17" s="20">
        <f t="shared" si="4"/>
        <v>42480</v>
      </c>
      <c r="P17" s="38">
        <f t="shared" si="4"/>
        <v>25395</v>
      </c>
      <c r="Q17" s="38">
        <f t="shared" si="4"/>
        <v>45175</v>
      </c>
      <c r="R17" s="38">
        <f t="shared" si="4"/>
        <v>169230</v>
      </c>
      <c r="S17" s="20">
        <f t="shared" si="4"/>
        <v>16565</v>
      </c>
      <c r="T17" s="38">
        <f t="shared" si="4"/>
        <v>47190</v>
      </c>
      <c r="U17" s="20">
        <f t="shared" si="4"/>
        <v>13950</v>
      </c>
      <c r="V17" s="20">
        <f t="shared" si="4"/>
        <v>29400</v>
      </c>
      <c r="W17" s="38">
        <f t="shared" si="4"/>
        <v>29970</v>
      </c>
      <c r="X17" s="38">
        <f t="shared" si="4"/>
        <v>79200</v>
      </c>
      <c r="Y17" s="38">
        <f t="shared" si="4"/>
        <v>850000</v>
      </c>
      <c r="Z17" s="20">
        <f t="shared" si="4"/>
        <v>38160</v>
      </c>
      <c r="AA17" s="38">
        <f t="shared" si="4"/>
        <v>11010</v>
      </c>
      <c r="AB17" s="38">
        <f t="shared" si="4"/>
        <v>51230</v>
      </c>
      <c r="AC17" s="38">
        <f t="shared" si="4"/>
        <v>22515</v>
      </c>
      <c r="AD17" s="38">
        <f t="shared" si="4"/>
        <v>25500</v>
      </c>
      <c r="AE17" s="38">
        <f t="shared" si="3"/>
        <v>2066984.47</v>
      </c>
      <c r="AF17" s="42">
        <f>AE81</f>
        <v>548127.3674999999</v>
      </c>
      <c r="AG17" s="42">
        <f>AE17</f>
        <v>2066984.47</v>
      </c>
    </row>
    <row r="18" spans="1:33" ht="12.75">
      <c r="A18" s="14"/>
      <c r="B18" s="15"/>
      <c r="C18" s="45"/>
      <c r="D18" s="35"/>
      <c r="E18" s="35"/>
      <c r="F18" s="35"/>
      <c r="G18" s="31"/>
      <c r="H18" s="36"/>
      <c r="I18" s="45"/>
      <c r="J18" s="35"/>
      <c r="K18" s="35"/>
      <c r="L18" s="45"/>
      <c r="M18" s="45"/>
      <c r="N18" s="35"/>
      <c r="O18" s="45"/>
      <c r="P18" s="35"/>
      <c r="Q18" s="35"/>
      <c r="R18" s="36"/>
      <c r="S18" s="45"/>
      <c r="T18" s="36"/>
      <c r="U18" s="31"/>
      <c r="V18" s="31"/>
      <c r="W18" s="36"/>
      <c r="X18" s="36"/>
      <c r="Y18" s="36"/>
      <c r="Z18" s="31"/>
      <c r="AA18" s="36"/>
      <c r="AB18" s="36"/>
      <c r="AC18" s="36"/>
      <c r="AD18" s="36"/>
      <c r="AE18" s="36"/>
      <c r="AF18" s="35"/>
      <c r="AG18" s="35"/>
    </row>
    <row r="19" spans="1:33" ht="12.75">
      <c r="A19" s="12" t="s">
        <v>45</v>
      </c>
      <c r="B19" s="13"/>
      <c r="C19" s="45"/>
      <c r="D19" s="35"/>
      <c r="E19" s="35"/>
      <c r="F19" s="35"/>
      <c r="G19" s="31" t="s">
        <v>38</v>
      </c>
      <c r="H19" s="36" t="s">
        <v>38</v>
      </c>
      <c r="I19" s="31" t="s">
        <v>38</v>
      </c>
      <c r="J19" s="36" t="s">
        <v>38</v>
      </c>
      <c r="K19" s="36" t="s">
        <v>38</v>
      </c>
      <c r="L19" s="31" t="s">
        <v>38</v>
      </c>
      <c r="M19" s="31" t="s">
        <v>38</v>
      </c>
      <c r="N19" s="36" t="s">
        <v>38</v>
      </c>
      <c r="O19" s="31" t="s">
        <v>38</v>
      </c>
      <c r="P19" s="36" t="s">
        <v>38</v>
      </c>
      <c r="Q19" s="36" t="s">
        <v>38</v>
      </c>
      <c r="R19" s="36" t="s">
        <v>38</v>
      </c>
      <c r="S19" s="31" t="s">
        <v>38</v>
      </c>
      <c r="T19" s="36"/>
      <c r="U19" s="31"/>
      <c r="V19" s="31"/>
      <c r="W19" s="36"/>
      <c r="X19" s="36"/>
      <c r="Y19" s="36"/>
      <c r="Z19" s="31"/>
      <c r="AA19" s="36"/>
      <c r="AB19" s="36"/>
      <c r="AC19" s="36"/>
      <c r="AD19" s="36"/>
      <c r="AE19" s="36"/>
      <c r="AF19" s="35"/>
      <c r="AG19" s="35"/>
    </row>
    <row r="20" spans="1:33" ht="12.75">
      <c r="A20" s="14" t="s">
        <v>46</v>
      </c>
      <c r="B20" s="15">
        <v>709</v>
      </c>
      <c r="C20" s="31">
        <v>0</v>
      </c>
      <c r="D20" s="36">
        <v>0</v>
      </c>
      <c r="E20" s="36">
        <v>0</v>
      </c>
      <c r="F20" s="36">
        <v>0</v>
      </c>
      <c r="G20" s="31">
        <v>0</v>
      </c>
      <c r="H20" s="36">
        <v>140</v>
      </c>
      <c r="I20" s="31">
        <v>0</v>
      </c>
      <c r="J20" s="36">
        <v>0</v>
      </c>
      <c r="K20" s="36">
        <v>0</v>
      </c>
      <c r="L20" s="31">
        <v>0</v>
      </c>
      <c r="M20" s="31">
        <v>0</v>
      </c>
      <c r="N20" s="36">
        <v>0</v>
      </c>
      <c r="O20" s="31">
        <v>0</v>
      </c>
      <c r="P20" s="36">
        <v>0</v>
      </c>
      <c r="Q20" s="36">
        <v>0</v>
      </c>
      <c r="R20" s="36">
        <v>0</v>
      </c>
      <c r="S20" s="31">
        <v>0</v>
      </c>
      <c r="T20" s="36">
        <v>0</v>
      </c>
      <c r="U20" s="31">
        <v>0</v>
      </c>
      <c r="V20" s="31">
        <v>0</v>
      </c>
      <c r="W20" s="36">
        <v>0</v>
      </c>
      <c r="X20" s="36">
        <v>0</v>
      </c>
      <c r="Y20" s="36">
        <v>0</v>
      </c>
      <c r="Z20" s="31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f>SUM(C20:AD20)</f>
        <v>140</v>
      </c>
      <c r="AF20" s="36">
        <v>1</v>
      </c>
      <c r="AG20" s="36">
        <f>AE20+AF20</f>
        <v>141</v>
      </c>
    </row>
    <row r="21" spans="1:33" ht="12.75">
      <c r="A21" s="14" t="s">
        <v>47</v>
      </c>
      <c r="B21" s="15">
        <v>709</v>
      </c>
      <c r="C21" s="31">
        <v>0</v>
      </c>
      <c r="D21" s="36">
        <v>0</v>
      </c>
      <c r="E21" s="36">
        <v>0</v>
      </c>
      <c r="F21" s="36">
        <v>0</v>
      </c>
      <c r="G21" s="31">
        <v>0</v>
      </c>
      <c r="H21" s="36">
        <v>0</v>
      </c>
      <c r="I21" s="31">
        <v>0</v>
      </c>
      <c r="J21" s="36">
        <v>0</v>
      </c>
      <c r="K21" s="36">
        <v>0</v>
      </c>
      <c r="L21" s="31">
        <v>0</v>
      </c>
      <c r="M21" s="31">
        <v>0</v>
      </c>
      <c r="N21" s="36">
        <v>0</v>
      </c>
      <c r="O21" s="31">
        <v>0</v>
      </c>
      <c r="P21" s="36">
        <v>0</v>
      </c>
      <c r="Q21" s="36">
        <v>0</v>
      </c>
      <c r="R21" s="36">
        <v>0</v>
      </c>
      <c r="S21" s="31">
        <v>0</v>
      </c>
      <c r="T21" s="36">
        <v>0</v>
      </c>
      <c r="U21" s="31">
        <v>0</v>
      </c>
      <c r="V21" s="31">
        <v>0</v>
      </c>
      <c r="W21" s="36">
        <v>0</v>
      </c>
      <c r="X21" s="36">
        <v>0</v>
      </c>
      <c r="Y21" s="36">
        <v>0</v>
      </c>
      <c r="Z21" s="31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f>SUM(C21:AD21)</f>
        <v>0</v>
      </c>
      <c r="AF21" s="36">
        <v>1</v>
      </c>
      <c r="AG21" s="36">
        <f>AE21+AF21</f>
        <v>1</v>
      </c>
    </row>
    <row r="22" spans="1:33" ht="12.75">
      <c r="A22" s="16" t="s">
        <v>48</v>
      </c>
      <c r="B22" s="17"/>
      <c r="C22" s="20">
        <f aca="true" t="shared" si="5" ref="C22:AD22">SUM(C20:C21)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20">
        <f t="shared" si="5"/>
        <v>0</v>
      </c>
      <c r="H22" s="38">
        <f t="shared" si="5"/>
        <v>140</v>
      </c>
      <c r="I22" s="20">
        <f t="shared" si="5"/>
        <v>0</v>
      </c>
      <c r="J22" s="38">
        <v>0</v>
      </c>
      <c r="K22" s="38">
        <f t="shared" si="5"/>
        <v>0</v>
      </c>
      <c r="L22" s="20">
        <f t="shared" si="5"/>
        <v>0</v>
      </c>
      <c r="M22" s="20">
        <f t="shared" si="5"/>
        <v>0</v>
      </c>
      <c r="N22" s="38">
        <f t="shared" si="5"/>
        <v>0</v>
      </c>
      <c r="O22" s="20">
        <f t="shared" si="5"/>
        <v>0</v>
      </c>
      <c r="P22" s="38">
        <f t="shared" si="5"/>
        <v>0</v>
      </c>
      <c r="Q22" s="38">
        <v>0</v>
      </c>
      <c r="R22" s="38">
        <v>0</v>
      </c>
      <c r="S22" s="20">
        <f t="shared" si="5"/>
        <v>0</v>
      </c>
      <c r="T22" s="38">
        <f t="shared" si="5"/>
        <v>0</v>
      </c>
      <c r="U22" s="20">
        <f t="shared" si="5"/>
        <v>0</v>
      </c>
      <c r="V22" s="20">
        <f t="shared" si="5"/>
        <v>0</v>
      </c>
      <c r="W22" s="38">
        <f t="shared" si="5"/>
        <v>0</v>
      </c>
      <c r="X22" s="38">
        <f t="shared" si="5"/>
        <v>0</v>
      </c>
      <c r="Y22" s="38">
        <f t="shared" si="5"/>
        <v>0</v>
      </c>
      <c r="Z22" s="20">
        <f t="shared" si="5"/>
        <v>0</v>
      </c>
      <c r="AA22" s="38">
        <f t="shared" si="5"/>
        <v>0</v>
      </c>
      <c r="AB22" s="38">
        <f t="shared" si="5"/>
        <v>0</v>
      </c>
      <c r="AC22" s="38">
        <f t="shared" si="5"/>
        <v>0</v>
      </c>
      <c r="AD22" s="38">
        <f t="shared" si="5"/>
        <v>0</v>
      </c>
      <c r="AE22" s="38">
        <f>SUM(C22:AD22)</f>
        <v>140</v>
      </c>
      <c r="AF22" s="38">
        <f>SUM(AF20:AF21)</f>
        <v>2</v>
      </c>
      <c r="AG22" s="42">
        <f>SUM(AG20:AG21)</f>
        <v>142</v>
      </c>
    </row>
    <row r="23" spans="1:33" ht="12.75">
      <c r="A23" s="16"/>
      <c r="B23" s="17"/>
      <c r="C23" s="20"/>
      <c r="D23" s="38"/>
      <c r="E23" s="38"/>
      <c r="F23" s="38"/>
      <c r="G23" s="20"/>
      <c r="H23" s="38"/>
      <c r="I23" s="20"/>
      <c r="J23" s="38"/>
      <c r="K23" s="38"/>
      <c r="L23" s="20"/>
      <c r="M23" s="20"/>
      <c r="N23" s="38"/>
      <c r="O23" s="20"/>
      <c r="P23" s="38"/>
      <c r="Q23" s="38"/>
      <c r="R23" s="38"/>
      <c r="S23" s="20"/>
      <c r="T23" s="38"/>
      <c r="U23" s="20"/>
      <c r="V23" s="20"/>
      <c r="W23" s="38"/>
      <c r="X23" s="38"/>
      <c r="Y23" s="38"/>
      <c r="Z23" s="20"/>
      <c r="AA23" s="38"/>
      <c r="AB23" s="38"/>
      <c r="AC23" s="38"/>
      <c r="AD23" s="38"/>
      <c r="AE23" s="38"/>
      <c r="AF23" s="35"/>
      <c r="AG23" s="42"/>
    </row>
    <row r="24" spans="1:33" ht="12.75">
      <c r="A24" s="12" t="s">
        <v>49</v>
      </c>
      <c r="B24" s="13"/>
      <c r="C24" s="45"/>
      <c r="D24" s="35"/>
      <c r="E24" s="35"/>
      <c r="F24" s="35"/>
      <c r="G24" s="45"/>
      <c r="H24" s="35"/>
      <c r="I24" s="45"/>
      <c r="J24" s="35"/>
      <c r="K24" s="35"/>
      <c r="L24" s="45"/>
      <c r="M24" s="45"/>
      <c r="N24" s="35"/>
      <c r="O24" s="45"/>
      <c r="P24" s="35"/>
      <c r="Q24" s="35"/>
      <c r="R24" s="35"/>
      <c r="S24" s="45"/>
      <c r="T24" s="35"/>
      <c r="U24" s="45"/>
      <c r="V24" s="45"/>
      <c r="W24" s="35"/>
      <c r="X24" s="35"/>
      <c r="Y24" s="35"/>
      <c r="Z24" s="45"/>
      <c r="AA24" s="35"/>
      <c r="AB24" s="35"/>
      <c r="AC24" s="35"/>
      <c r="AD24" s="35"/>
      <c r="AE24" s="36"/>
      <c r="AF24" s="35"/>
      <c r="AG24" s="35"/>
    </row>
    <row r="25" spans="1:33" ht="12.75">
      <c r="A25" s="12" t="s">
        <v>50</v>
      </c>
      <c r="B25" s="13"/>
      <c r="C25" s="31">
        <v>0</v>
      </c>
      <c r="D25" s="36">
        <v>0</v>
      </c>
      <c r="E25" s="36">
        <v>0</v>
      </c>
      <c r="F25" s="36">
        <v>0</v>
      </c>
      <c r="G25" s="31">
        <v>0</v>
      </c>
      <c r="H25" s="36">
        <v>0</v>
      </c>
      <c r="I25" s="31">
        <v>0</v>
      </c>
      <c r="J25" s="36">
        <v>0</v>
      </c>
      <c r="K25" s="36">
        <v>0</v>
      </c>
      <c r="L25" s="31">
        <v>0</v>
      </c>
      <c r="M25" s="31">
        <v>0</v>
      </c>
      <c r="N25" s="36">
        <v>0</v>
      </c>
      <c r="O25" s="31">
        <v>0</v>
      </c>
      <c r="P25" s="36">
        <v>0</v>
      </c>
      <c r="Q25" s="36">
        <v>0</v>
      </c>
      <c r="R25" s="36">
        <v>0</v>
      </c>
      <c r="S25" s="31">
        <v>0</v>
      </c>
      <c r="T25" s="36">
        <v>0</v>
      </c>
      <c r="U25" s="31">
        <v>0</v>
      </c>
      <c r="V25" s="31">
        <v>0</v>
      </c>
      <c r="W25" s="36">
        <v>0</v>
      </c>
      <c r="X25" s="36">
        <v>0</v>
      </c>
      <c r="Y25" s="36">
        <v>0</v>
      </c>
      <c r="Z25" s="31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1</v>
      </c>
      <c r="AG25" s="36">
        <f>AE25+AF25</f>
        <v>1</v>
      </c>
    </row>
    <row r="26" spans="1:33" ht="12.75">
      <c r="A26" s="12" t="s">
        <v>51</v>
      </c>
      <c r="B26" s="13"/>
      <c r="C26" s="31">
        <v>0</v>
      </c>
      <c r="D26" s="36">
        <v>0</v>
      </c>
      <c r="E26" s="36">
        <v>0</v>
      </c>
      <c r="F26" s="36">
        <v>0</v>
      </c>
      <c r="G26" s="31">
        <v>0</v>
      </c>
      <c r="H26" s="36">
        <v>0</v>
      </c>
      <c r="I26" s="31">
        <v>0</v>
      </c>
      <c r="J26" s="36">
        <v>0</v>
      </c>
      <c r="K26" s="36">
        <v>0</v>
      </c>
      <c r="L26" s="31">
        <v>0</v>
      </c>
      <c r="M26" s="31">
        <v>0</v>
      </c>
      <c r="N26" s="36">
        <v>0</v>
      </c>
      <c r="O26" s="31">
        <v>0</v>
      </c>
      <c r="P26" s="36">
        <v>0</v>
      </c>
      <c r="Q26" s="36">
        <v>0</v>
      </c>
      <c r="R26" s="36">
        <v>0</v>
      </c>
      <c r="S26" s="31">
        <v>0</v>
      </c>
      <c r="T26" s="36">
        <v>0</v>
      </c>
      <c r="U26" s="31">
        <v>0</v>
      </c>
      <c r="V26" s="31">
        <v>0</v>
      </c>
      <c r="W26" s="36">
        <v>0</v>
      </c>
      <c r="X26" s="36">
        <v>0</v>
      </c>
      <c r="Y26" s="36">
        <v>0</v>
      </c>
      <c r="Z26" s="31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1</v>
      </c>
      <c r="AG26" s="36">
        <f>AE26+AF26</f>
        <v>1</v>
      </c>
    </row>
    <row r="27" spans="1:33" ht="12.75">
      <c r="A27" s="12" t="s">
        <v>52</v>
      </c>
      <c r="B27" s="13"/>
      <c r="C27" s="31">
        <v>0</v>
      </c>
      <c r="D27" s="36">
        <v>0</v>
      </c>
      <c r="E27" s="36">
        <v>0</v>
      </c>
      <c r="F27" s="36">
        <v>0</v>
      </c>
      <c r="G27" s="31">
        <v>0</v>
      </c>
      <c r="H27" s="36">
        <v>0</v>
      </c>
      <c r="I27" s="31">
        <v>0</v>
      </c>
      <c r="J27" s="36">
        <v>0</v>
      </c>
      <c r="K27" s="36">
        <v>0</v>
      </c>
      <c r="L27" s="31">
        <v>0</v>
      </c>
      <c r="M27" s="31">
        <v>0</v>
      </c>
      <c r="N27" s="36">
        <v>0</v>
      </c>
      <c r="O27" s="31">
        <v>0</v>
      </c>
      <c r="P27" s="36">
        <v>0</v>
      </c>
      <c r="Q27" s="36">
        <v>0</v>
      </c>
      <c r="R27" s="36">
        <v>0</v>
      </c>
      <c r="S27" s="31">
        <v>0</v>
      </c>
      <c r="T27" s="36">
        <v>0</v>
      </c>
      <c r="U27" s="31">
        <v>0</v>
      </c>
      <c r="V27" s="31">
        <v>0</v>
      </c>
      <c r="W27" s="36">
        <v>0</v>
      </c>
      <c r="X27" s="36">
        <v>0</v>
      </c>
      <c r="Y27" s="36">
        <v>0</v>
      </c>
      <c r="Z27" s="31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1</v>
      </c>
      <c r="AG27" s="36">
        <f>AE27+AF27</f>
        <v>1</v>
      </c>
    </row>
    <row r="28" spans="1:33" ht="12.75">
      <c r="A28" s="14" t="s">
        <v>53</v>
      </c>
      <c r="B28" s="15"/>
      <c r="C28" s="31">
        <v>0</v>
      </c>
      <c r="D28" s="36">
        <v>0</v>
      </c>
      <c r="E28" s="36">
        <v>5000</v>
      </c>
      <c r="F28" s="36">
        <v>0</v>
      </c>
      <c r="G28" s="31">
        <v>0</v>
      </c>
      <c r="H28" s="36">
        <v>0</v>
      </c>
      <c r="I28" s="31">
        <v>0</v>
      </c>
      <c r="J28" s="36">
        <v>0</v>
      </c>
      <c r="K28" s="36">
        <v>0</v>
      </c>
      <c r="L28" s="31">
        <v>0</v>
      </c>
      <c r="M28" s="31">
        <v>0</v>
      </c>
      <c r="N28" s="36">
        <v>0</v>
      </c>
      <c r="O28" s="31">
        <v>0</v>
      </c>
      <c r="P28" s="36">
        <v>0</v>
      </c>
      <c r="Q28" s="36">
        <v>0</v>
      </c>
      <c r="R28" s="36">
        <v>0</v>
      </c>
      <c r="S28" s="31">
        <v>0</v>
      </c>
      <c r="T28" s="36">
        <v>1510</v>
      </c>
      <c r="U28" s="31">
        <v>0</v>
      </c>
      <c r="V28" s="31">
        <v>0</v>
      </c>
      <c r="W28" s="36">
        <v>0</v>
      </c>
      <c r="X28" s="36">
        <v>0</v>
      </c>
      <c r="Y28" s="36">
        <v>0</v>
      </c>
      <c r="Z28" s="31">
        <v>2000</v>
      </c>
      <c r="AA28" s="36">
        <v>1400</v>
      </c>
      <c r="AB28" s="36">
        <v>0</v>
      </c>
      <c r="AC28" s="36">
        <v>0</v>
      </c>
      <c r="AD28" s="36">
        <v>0</v>
      </c>
      <c r="AE28" s="36">
        <f>SUM(C28:AD28)</f>
        <v>9910</v>
      </c>
      <c r="AF28" s="36">
        <v>1</v>
      </c>
      <c r="AG28" s="36">
        <f>AE28+AF28</f>
        <v>9911</v>
      </c>
    </row>
    <row r="29" spans="1:33" s="18" customFormat="1" ht="12.75">
      <c r="A29" s="16" t="s">
        <v>54</v>
      </c>
      <c r="B29" s="17"/>
      <c r="C29" s="20">
        <f aca="true" t="shared" si="6" ref="C29:AD29">SUM(C25:C28)</f>
        <v>0</v>
      </c>
      <c r="D29" s="38">
        <f t="shared" si="6"/>
        <v>0</v>
      </c>
      <c r="E29" s="38">
        <f t="shared" si="6"/>
        <v>5000</v>
      </c>
      <c r="F29" s="38">
        <v>0</v>
      </c>
      <c r="G29" s="20">
        <f t="shared" si="6"/>
        <v>0</v>
      </c>
      <c r="H29" s="38">
        <f t="shared" si="6"/>
        <v>0</v>
      </c>
      <c r="I29" s="20">
        <f t="shared" si="6"/>
        <v>0</v>
      </c>
      <c r="J29" s="38">
        <f t="shared" si="6"/>
        <v>0</v>
      </c>
      <c r="K29" s="38">
        <f t="shared" si="6"/>
        <v>0</v>
      </c>
      <c r="L29" s="20">
        <f t="shared" si="6"/>
        <v>0</v>
      </c>
      <c r="M29" s="20">
        <f t="shared" si="6"/>
        <v>0</v>
      </c>
      <c r="N29" s="38">
        <f t="shared" si="6"/>
        <v>0</v>
      </c>
      <c r="O29" s="20">
        <f t="shared" si="6"/>
        <v>0</v>
      </c>
      <c r="P29" s="38">
        <f t="shared" si="6"/>
        <v>0</v>
      </c>
      <c r="Q29" s="38">
        <f t="shared" si="6"/>
        <v>0</v>
      </c>
      <c r="R29" s="38">
        <f t="shared" si="6"/>
        <v>0</v>
      </c>
      <c r="S29" s="20">
        <f t="shared" si="6"/>
        <v>0</v>
      </c>
      <c r="T29" s="38">
        <f t="shared" si="6"/>
        <v>1510</v>
      </c>
      <c r="U29" s="20">
        <f t="shared" si="6"/>
        <v>0</v>
      </c>
      <c r="V29" s="20">
        <f t="shared" si="6"/>
        <v>0</v>
      </c>
      <c r="W29" s="38">
        <f t="shared" si="6"/>
        <v>0</v>
      </c>
      <c r="X29" s="38">
        <v>0</v>
      </c>
      <c r="Y29" s="38">
        <f t="shared" si="6"/>
        <v>0</v>
      </c>
      <c r="Z29" s="20">
        <f t="shared" si="6"/>
        <v>2000</v>
      </c>
      <c r="AA29" s="38">
        <f t="shared" si="6"/>
        <v>1400</v>
      </c>
      <c r="AB29" s="38">
        <f t="shared" si="6"/>
        <v>0</v>
      </c>
      <c r="AC29" s="38">
        <f t="shared" si="6"/>
        <v>0</v>
      </c>
      <c r="AD29" s="38">
        <f t="shared" si="6"/>
        <v>0</v>
      </c>
      <c r="AE29" s="38">
        <f>SUM(C29:AD29)</f>
        <v>9910</v>
      </c>
      <c r="AF29" s="38">
        <f>SUM(AF25:AF28)</f>
        <v>4</v>
      </c>
      <c r="AG29" s="38">
        <f>SUM(AG25:AG28)</f>
        <v>9914</v>
      </c>
    </row>
    <row r="30" spans="1:33" ht="12.75">
      <c r="A30" s="16"/>
      <c r="B30" s="17"/>
      <c r="C30" s="31"/>
      <c r="D30" s="36"/>
      <c r="E30" s="36"/>
      <c r="F30" s="35"/>
      <c r="G30" s="31"/>
      <c r="H30" s="36"/>
      <c r="I30" s="45"/>
      <c r="J30" s="35"/>
      <c r="K30" s="35"/>
      <c r="L30" s="45"/>
      <c r="M30" s="45"/>
      <c r="N30" s="36"/>
      <c r="O30" s="45"/>
      <c r="P30" s="35"/>
      <c r="Q30" s="35"/>
      <c r="R30" s="36"/>
      <c r="S30" s="45"/>
      <c r="T30" s="36"/>
      <c r="U30" s="31"/>
      <c r="V30" s="31"/>
      <c r="W30" s="36"/>
      <c r="X30" s="36"/>
      <c r="Y30" s="36"/>
      <c r="Z30" s="31"/>
      <c r="AA30" s="36"/>
      <c r="AB30" s="36"/>
      <c r="AC30" s="36"/>
      <c r="AD30" s="36"/>
      <c r="AE30" s="38"/>
      <c r="AF30" s="35"/>
      <c r="AG30" s="35"/>
    </row>
    <row r="31" spans="1:33" ht="12.75">
      <c r="A31" s="19" t="s">
        <v>119</v>
      </c>
      <c r="B31" s="17"/>
      <c r="C31" s="20">
        <f aca="true" t="shared" si="7" ref="C31:AG31">C17+C22+C29</f>
        <v>45300</v>
      </c>
      <c r="D31" s="38">
        <f t="shared" si="7"/>
        <v>150000</v>
      </c>
      <c r="E31" s="38">
        <f t="shared" si="7"/>
        <v>161810</v>
      </c>
      <c r="F31" s="38">
        <f t="shared" si="7"/>
        <v>53709.47</v>
      </c>
      <c r="G31" s="20">
        <f t="shared" si="7"/>
        <v>16602</v>
      </c>
      <c r="H31" s="38">
        <f t="shared" si="7"/>
        <v>17240</v>
      </c>
      <c r="I31" s="20">
        <f t="shared" si="7"/>
        <v>20428</v>
      </c>
      <c r="J31" s="38">
        <f t="shared" si="7"/>
        <v>28800</v>
      </c>
      <c r="K31" s="38">
        <f>K17+K22+K29</f>
        <v>21720</v>
      </c>
      <c r="L31" s="20">
        <f>L17+L22+L29</f>
        <v>22000</v>
      </c>
      <c r="M31" s="20">
        <f t="shared" si="7"/>
        <v>18000</v>
      </c>
      <c r="N31" s="38">
        <f t="shared" si="7"/>
        <v>19545</v>
      </c>
      <c r="O31" s="20">
        <f t="shared" si="7"/>
        <v>42480</v>
      </c>
      <c r="P31" s="38">
        <f t="shared" si="7"/>
        <v>25395</v>
      </c>
      <c r="Q31" s="38">
        <f t="shared" si="7"/>
        <v>45175</v>
      </c>
      <c r="R31" s="38">
        <f>R17+R22+R29</f>
        <v>169230</v>
      </c>
      <c r="S31" s="20">
        <f t="shared" si="7"/>
        <v>16565</v>
      </c>
      <c r="T31" s="38">
        <f t="shared" si="7"/>
        <v>48700</v>
      </c>
      <c r="U31" s="20">
        <f t="shared" si="7"/>
        <v>13950</v>
      </c>
      <c r="V31" s="20">
        <f t="shared" si="7"/>
        <v>29400</v>
      </c>
      <c r="W31" s="38">
        <f t="shared" si="7"/>
        <v>29970</v>
      </c>
      <c r="X31" s="38">
        <f>X17+X22+X29</f>
        <v>79200</v>
      </c>
      <c r="Y31" s="38">
        <f t="shared" si="7"/>
        <v>850000</v>
      </c>
      <c r="Z31" s="20">
        <f t="shared" si="7"/>
        <v>40160</v>
      </c>
      <c r="AA31" s="38">
        <f t="shared" si="7"/>
        <v>12410</v>
      </c>
      <c r="AB31" s="38">
        <f t="shared" si="7"/>
        <v>51230</v>
      </c>
      <c r="AC31" s="38">
        <f t="shared" si="7"/>
        <v>22515</v>
      </c>
      <c r="AD31" s="38">
        <f t="shared" si="7"/>
        <v>25500</v>
      </c>
      <c r="AE31" s="38">
        <f t="shared" si="7"/>
        <v>2077034.47</v>
      </c>
      <c r="AF31" s="38">
        <f t="shared" si="7"/>
        <v>548133.3674999999</v>
      </c>
      <c r="AG31" s="38">
        <f t="shared" si="7"/>
        <v>2077040.47</v>
      </c>
    </row>
    <row r="32" spans="1:33" ht="12.75">
      <c r="A32" s="16"/>
      <c r="B32" s="17"/>
      <c r="C32" s="20"/>
      <c r="D32" s="38"/>
      <c r="E32" s="38"/>
      <c r="F32" s="52"/>
      <c r="G32" s="20"/>
      <c r="H32" s="38"/>
      <c r="I32" s="20"/>
      <c r="J32" s="38"/>
      <c r="K32" s="38"/>
      <c r="L32" s="20"/>
      <c r="M32" s="20"/>
      <c r="N32" s="38"/>
      <c r="O32" s="20"/>
      <c r="P32" s="38"/>
      <c r="Q32" s="38"/>
      <c r="R32" s="38"/>
      <c r="S32" s="20"/>
      <c r="T32" s="38"/>
      <c r="U32" s="20"/>
      <c r="V32" s="20"/>
      <c r="W32" s="38"/>
      <c r="X32" s="38"/>
      <c r="Y32" s="38"/>
      <c r="Z32" s="20"/>
      <c r="AA32" s="38"/>
      <c r="AB32" s="38"/>
      <c r="AC32" s="38"/>
      <c r="AD32" s="38"/>
      <c r="AE32" s="38"/>
      <c r="AF32" s="38"/>
      <c r="AG32" s="52"/>
    </row>
    <row r="33" spans="1:33" ht="12.75">
      <c r="A33" s="16" t="s">
        <v>55</v>
      </c>
      <c r="B33" s="17"/>
      <c r="C33" s="20"/>
      <c r="D33" s="38"/>
      <c r="E33" s="38"/>
      <c r="F33" s="52"/>
      <c r="G33" s="20"/>
      <c r="H33" s="38"/>
      <c r="I33" s="20"/>
      <c r="J33" s="38"/>
      <c r="K33" s="38"/>
      <c r="L33" s="20"/>
      <c r="M33" s="20"/>
      <c r="N33" s="38"/>
      <c r="O33" s="20"/>
      <c r="P33" s="38"/>
      <c r="Q33" s="38"/>
      <c r="R33" s="38"/>
      <c r="S33" s="20"/>
      <c r="T33" s="38"/>
      <c r="U33" s="20"/>
      <c r="V33" s="20"/>
      <c r="W33" s="38"/>
      <c r="X33" s="38"/>
      <c r="Y33" s="38"/>
      <c r="Z33" s="20"/>
      <c r="AA33" s="38"/>
      <c r="AB33" s="38"/>
      <c r="AC33" s="38"/>
      <c r="AD33" s="38"/>
      <c r="AE33" s="55">
        <f>AE31-AF31</f>
        <v>1528901.1025</v>
      </c>
      <c r="AF33" s="38"/>
      <c r="AG33" s="56">
        <f>AG31</f>
        <v>2077040.47</v>
      </c>
    </row>
    <row r="34" spans="1:33" ht="22.5" customHeight="1">
      <c r="A34" s="12"/>
      <c r="B34" s="13"/>
      <c r="C34" s="45"/>
      <c r="D34" s="35"/>
      <c r="E34" s="35"/>
      <c r="F34" s="35"/>
      <c r="G34" s="45"/>
      <c r="H34" s="35"/>
      <c r="I34" s="45"/>
      <c r="J34" s="35"/>
      <c r="K34" s="35"/>
      <c r="L34" s="45"/>
      <c r="M34" s="45"/>
      <c r="N34" s="35"/>
      <c r="O34" s="45"/>
      <c r="P34" s="35"/>
      <c r="Q34" s="35"/>
      <c r="R34" s="36"/>
      <c r="S34" s="45"/>
      <c r="T34" s="36"/>
      <c r="U34" s="31"/>
      <c r="V34" s="31" t="s">
        <v>38</v>
      </c>
      <c r="W34" s="36"/>
      <c r="X34" s="36"/>
      <c r="Y34" s="36"/>
      <c r="Z34" s="31"/>
      <c r="AA34" s="36"/>
      <c r="AB34" s="36"/>
      <c r="AC34" s="36"/>
      <c r="AD34" s="36"/>
      <c r="AE34" s="36"/>
      <c r="AF34" s="35"/>
      <c r="AG34" s="35"/>
    </row>
    <row r="35" spans="1:33" ht="12.75" customHeight="1">
      <c r="A35" s="107" t="s">
        <v>56</v>
      </c>
      <c r="B35" s="5"/>
      <c r="C35" s="45"/>
      <c r="D35" s="35"/>
      <c r="E35" s="35"/>
      <c r="F35" s="35"/>
      <c r="G35" s="45"/>
      <c r="H35" s="35"/>
      <c r="I35" s="45"/>
      <c r="J35" s="35"/>
      <c r="K35" s="35"/>
      <c r="L35" s="45"/>
      <c r="M35" s="45"/>
      <c r="N35" s="35"/>
      <c r="O35" s="45"/>
      <c r="P35" s="35"/>
      <c r="Q35" s="35"/>
      <c r="R35" s="36"/>
      <c r="S35" s="45"/>
      <c r="T35" s="36"/>
      <c r="U35" s="31"/>
      <c r="V35" s="31"/>
      <c r="W35" s="36"/>
      <c r="X35" s="36"/>
      <c r="Y35" s="36"/>
      <c r="Z35" s="31"/>
      <c r="AA35" s="36"/>
      <c r="AB35" s="36"/>
      <c r="AC35" s="36"/>
      <c r="AD35" s="36"/>
      <c r="AE35" s="36"/>
      <c r="AF35" s="35"/>
      <c r="AG35" s="35"/>
    </row>
    <row r="36" spans="1:33" ht="12.75">
      <c r="A36" s="107"/>
      <c r="B36" s="5"/>
      <c r="C36" s="45"/>
      <c r="D36" s="35"/>
      <c r="E36" s="35"/>
      <c r="F36" s="35"/>
      <c r="G36" s="45"/>
      <c r="H36" s="35"/>
      <c r="I36" s="45"/>
      <c r="J36" s="35"/>
      <c r="K36" s="35"/>
      <c r="L36" s="45"/>
      <c r="M36" s="45"/>
      <c r="N36" s="35"/>
      <c r="O36" s="45"/>
      <c r="P36" s="35"/>
      <c r="Q36" s="35"/>
      <c r="R36" s="36"/>
      <c r="S36" s="45"/>
      <c r="T36" s="36"/>
      <c r="U36" s="31"/>
      <c r="V36" s="31"/>
      <c r="W36" s="36"/>
      <c r="X36" s="36"/>
      <c r="Y36" s="36"/>
      <c r="Z36" s="31"/>
      <c r="AA36" s="36"/>
      <c r="AB36" s="36"/>
      <c r="AC36" s="36"/>
      <c r="AD36" s="36"/>
      <c r="AE36" s="36"/>
      <c r="AF36" s="35"/>
      <c r="AG36" s="35"/>
    </row>
    <row r="37" spans="1:33" ht="12.75">
      <c r="A37" s="7"/>
      <c r="B37" s="8"/>
      <c r="C37" s="45"/>
      <c r="D37" s="35"/>
      <c r="E37" s="35"/>
      <c r="F37" s="35"/>
      <c r="G37" s="45"/>
      <c r="H37" s="35"/>
      <c r="I37" s="45"/>
      <c r="J37" s="35"/>
      <c r="K37" s="35"/>
      <c r="L37" s="45"/>
      <c r="M37" s="45"/>
      <c r="N37" s="35"/>
      <c r="O37" s="45"/>
      <c r="P37" s="35"/>
      <c r="Q37" s="35"/>
      <c r="R37" s="36"/>
      <c r="S37" s="45"/>
      <c r="T37" s="36"/>
      <c r="U37" s="31"/>
      <c r="V37" s="31"/>
      <c r="W37" s="36"/>
      <c r="X37" s="36"/>
      <c r="Y37" s="36"/>
      <c r="Z37" s="31"/>
      <c r="AA37" s="36"/>
      <c r="AB37" s="36"/>
      <c r="AC37" s="36"/>
      <c r="AD37" s="36"/>
      <c r="AE37" s="36"/>
      <c r="AF37" s="35"/>
      <c r="AG37" s="35"/>
    </row>
    <row r="38" spans="1:33" ht="12.75">
      <c r="A38" s="10" t="s">
        <v>120</v>
      </c>
      <c r="B38" s="11"/>
      <c r="C38" s="45"/>
      <c r="D38" s="35"/>
      <c r="E38" s="35"/>
      <c r="F38" s="35"/>
      <c r="G38" s="45"/>
      <c r="H38" s="35"/>
      <c r="I38" s="45"/>
      <c r="J38" s="35"/>
      <c r="K38" s="35"/>
      <c r="L38" s="45"/>
      <c r="M38" s="45"/>
      <c r="N38" s="35"/>
      <c r="O38" s="45"/>
      <c r="P38" s="35"/>
      <c r="Q38" s="35"/>
      <c r="R38" s="36"/>
      <c r="S38" s="45"/>
      <c r="T38" s="36"/>
      <c r="U38" s="31"/>
      <c r="V38" s="31"/>
      <c r="W38" s="36"/>
      <c r="X38" s="36"/>
      <c r="Y38" s="36"/>
      <c r="Z38" s="31"/>
      <c r="AA38" s="36"/>
      <c r="AB38" s="36"/>
      <c r="AC38" s="36"/>
      <c r="AD38" s="36"/>
      <c r="AE38" s="36"/>
      <c r="AF38" s="35"/>
      <c r="AG38" s="35"/>
    </row>
    <row r="39" spans="1:33" ht="12.75">
      <c r="A39" s="12" t="s">
        <v>57</v>
      </c>
      <c r="B39" s="13"/>
      <c r="C39" s="45"/>
      <c r="D39" s="52"/>
      <c r="E39" s="35"/>
      <c r="F39" s="35"/>
      <c r="G39" s="45"/>
      <c r="H39" s="35"/>
      <c r="I39" s="45"/>
      <c r="J39" s="35"/>
      <c r="K39" s="35"/>
      <c r="L39" s="45"/>
      <c r="M39" s="45"/>
      <c r="N39" s="35"/>
      <c r="O39" s="45"/>
      <c r="P39" s="35"/>
      <c r="Q39" s="35"/>
      <c r="R39" s="36"/>
      <c r="S39" s="45"/>
      <c r="T39" s="36"/>
      <c r="U39" s="31"/>
      <c r="V39" s="31"/>
      <c r="W39" s="36"/>
      <c r="X39" s="36"/>
      <c r="Y39" s="36"/>
      <c r="Z39" s="31"/>
      <c r="AA39" s="36"/>
      <c r="AB39" s="36"/>
      <c r="AC39" s="36"/>
      <c r="AD39" s="36"/>
      <c r="AE39" s="36"/>
      <c r="AF39" s="35"/>
      <c r="AG39" s="35"/>
    </row>
    <row r="40" spans="1:33" s="18" customFormat="1" ht="12.75" customHeight="1">
      <c r="A40" s="27" t="s">
        <v>58</v>
      </c>
      <c r="B40" s="11"/>
      <c r="C40" s="20">
        <f aca="true" t="shared" si="8" ref="C40:AD40">SUM(C41:C44)</f>
        <v>6000</v>
      </c>
      <c r="D40" s="38">
        <f t="shared" si="8"/>
        <v>4000</v>
      </c>
      <c r="E40" s="38">
        <f t="shared" si="8"/>
        <v>5700</v>
      </c>
      <c r="F40" s="38">
        <f t="shared" si="8"/>
        <v>1000</v>
      </c>
      <c r="G40" s="20">
        <f t="shared" si="8"/>
        <v>540</v>
      </c>
      <c r="H40" s="38">
        <f t="shared" si="8"/>
        <v>700</v>
      </c>
      <c r="I40" s="20">
        <f t="shared" si="8"/>
        <v>120</v>
      </c>
      <c r="J40" s="38">
        <f t="shared" si="8"/>
        <v>400</v>
      </c>
      <c r="K40" s="38">
        <f>SUM(K41:K44)</f>
        <v>700</v>
      </c>
      <c r="L40" s="20">
        <f>SUM(L41:L44)</f>
        <v>500</v>
      </c>
      <c r="M40" s="20">
        <f t="shared" si="8"/>
        <v>1440</v>
      </c>
      <c r="N40" s="38">
        <f t="shared" si="8"/>
        <v>320</v>
      </c>
      <c r="O40" s="20">
        <f t="shared" si="8"/>
        <v>1600</v>
      </c>
      <c r="P40" s="38">
        <f t="shared" si="8"/>
        <v>0</v>
      </c>
      <c r="Q40" s="38">
        <f t="shared" si="8"/>
        <v>3900</v>
      </c>
      <c r="R40" s="38">
        <f>SUM(R41:R44)</f>
        <v>3500</v>
      </c>
      <c r="S40" s="20">
        <f t="shared" si="8"/>
        <v>400</v>
      </c>
      <c r="T40" s="38">
        <f t="shared" si="8"/>
        <v>1200</v>
      </c>
      <c r="U40" s="20">
        <f t="shared" si="8"/>
        <v>500</v>
      </c>
      <c r="V40" s="20">
        <f t="shared" si="8"/>
        <v>2200</v>
      </c>
      <c r="W40" s="38">
        <f t="shared" si="8"/>
        <v>2300</v>
      </c>
      <c r="X40" s="38">
        <f>SUM(X41:X44)</f>
        <v>4000</v>
      </c>
      <c r="Y40" s="38">
        <f t="shared" si="8"/>
        <v>46000</v>
      </c>
      <c r="Z40" s="20">
        <f t="shared" si="8"/>
        <v>2440</v>
      </c>
      <c r="AA40" s="38">
        <f t="shared" si="8"/>
        <v>200</v>
      </c>
      <c r="AB40" s="38">
        <f t="shared" si="8"/>
        <v>2700</v>
      </c>
      <c r="AC40" s="38">
        <f t="shared" si="8"/>
        <v>600</v>
      </c>
      <c r="AD40" s="38">
        <f t="shared" si="8"/>
        <v>2500</v>
      </c>
      <c r="AE40" s="38">
        <f aca="true" t="shared" si="9" ref="AE40:AE63">SUM(C40:AD40)</f>
        <v>95460</v>
      </c>
      <c r="AF40" s="38">
        <f>SUM(AF41:AF44)</f>
        <v>35000</v>
      </c>
      <c r="AG40" s="38">
        <f>AE40+AF40</f>
        <v>130460</v>
      </c>
    </row>
    <row r="41" spans="1:33" ht="12.75" customHeight="1">
      <c r="A41" s="14" t="s">
        <v>59</v>
      </c>
      <c r="B41" s="15">
        <v>601</v>
      </c>
      <c r="C41" s="31">
        <v>4000</v>
      </c>
      <c r="D41" s="36">
        <v>0</v>
      </c>
      <c r="E41" s="36">
        <v>500</v>
      </c>
      <c r="F41" s="36">
        <v>500</v>
      </c>
      <c r="G41" s="31">
        <v>240</v>
      </c>
      <c r="H41" s="36">
        <v>400</v>
      </c>
      <c r="I41" s="31">
        <v>0</v>
      </c>
      <c r="J41" s="36">
        <v>0</v>
      </c>
      <c r="K41" s="36">
        <v>0</v>
      </c>
      <c r="L41" s="31">
        <v>0</v>
      </c>
      <c r="M41" s="31">
        <v>1000</v>
      </c>
      <c r="N41" s="36">
        <v>100</v>
      </c>
      <c r="O41" s="31">
        <v>1000</v>
      </c>
      <c r="P41" s="36">
        <v>0</v>
      </c>
      <c r="Q41" s="36">
        <v>0</v>
      </c>
      <c r="R41" s="36">
        <v>3000</v>
      </c>
      <c r="S41" s="31">
        <v>200</v>
      </c>
      <c r="T41" s="36">
        <v>500</v>
      </c>
      <c r="U41" s="31">
        <v>0</v>
      </c>
      <c r="V41" s="31">
        <v>2000</v>
      </c>
      <c r="W41" s="36">
        <v>1000</v>
      </c>
      <c r="X41" s="36">
        <v>500</v>
      </c>
      <c r="Y41" s="36">
        <v>28000</v>
      </c>
      <c r="Z41" s="31">
        <v>1000</v>
      </c>
      <c r="AA41" s="36">
        <v>0</v>
      </c>
      <c r="AB41" s="36">
        <v>1700</v>
      </c>
      <c r="AC41" s="36">
        <v>400</v>
      </c>
      <c r="AD41" s="36">
        <v>500</v>
      </c>
      <c r="AE41" s="36">
        <f t="shared" si="9"/>
        <v>46540</v>
      </c>
      <c r="AF41" s="36">
        <v>10000</v>
      </c>
      <c r="AG41" s="36">
        <f>SUM(AE41+AF41)</f>
        <v>56540</v>
      </c>
    </row>
    <row r="42" spans="1:33" ht="12.75" customHeight="1">
      <c r="A42" s="14" t="s">
        <v>60</v>
      </c>
      <c r="B42" s="15">
        <v>601</v>
      </c>
      <c r="C42" s="31">
        <v>2000</v>
      </c>
      <c r="D42" s="36">
        <v>4000</v>
      </c>
      <c r="E42" s="36">
        <v>5200</v>
      </c>
      <c r="F42" s="36">
        <v>500</v>
      </c>
      <c r="G42" s="31">
        <v>300</v>
      </c>
      <c r="H42" s="36">
        <v>300</v>
      </c>
      <c r="I42" s="31">
        <v>120</v>
      </c>
      <c r="J42" s="36">
        <v>400</v>
      </c>
      <c r="K42" s="36">
        <v>700</v>
      </c>
      <c r="L42" s="31">
        <v>500</v>
      </c>
      <c r="M42" s="31">
        <v>440</v>
      </c>
      <c r="N42" s="36">
        <v>220</v>
      </c>
      <c r="O42" s="31">
        <v>600</v>
      </c>
      <c r="P42" s="36">
        <v>0</v>
      </c>
      <c r="Q42" s="36">
        <v>3900</v>
      </c>
      <c r="R42" s="36">
        <v>500</v>
      </c>
      <c r="S42" s="31">
        <v>200</v>
      </c>
      <c r="T42" s="36">
        <v>700</v>
      </c>
      <c r="U42" s="31">
        <v>500</v>
      </c>
      <c r="V42" s="31">
        <v>200</v>
      </c>
      <c r="W42" s="36">
        <v>1300</v>
      </c>
      <c r="X42" s="36">
        <v>2000</v>
      </c>
      <c r="Y42" s="36">
        <v>18000</v>
      </c>
      <c r="Z42" s="31">
        <v>1440</v>
      </c>
      <c r="AA42" s="36">
        <v>200</v>
      </c>
      <c r="AB42" s="36">
        <v>1000</v>
      </c>
      <c r="AC42" s="36">
        <v>200</v>
      </c>
      <c r="AD42" s="36">
        <v>2000</v>
      </c>
      <c r="AE42" s="36">
        <f t="shared" si="9"/>
        <v>47420</v>
      </c>
      <c r="AF42" s="36">
        <v>10000</v>
      </c>
      <c r="AG42" s="36">
        <f>SUM(AE42+AF42)</f>
        <v>57420</v>
      </c>
    </row>
    <row r="43" spans="1:33" ht="12.75">
      <c r="A43" s="14" t="s">
        <v>61</v>
      </c>
      <c r="B43" s="15">
        <v>601</v>
      </c>
      <c r="C43" s="31">
        <v>0</v>
      </c>
      <c r="D43" s="36">
        <v>0</v>
      </c>
      <c r="E43" s="36">
        <v>0</v>
      </c>
      <c r="F43" s="36">
        <v>0</v>
      </c>
      <c r="G43" s="31">
        <v>0</v>
      </c>
      <c r="H43" s="36">
        <v>0</v>
      </c>
      <c r="I43" s="31">
        <v>0</v>
      </c>
      <c r="J43" s="36">
        <v>0</v>
      </c>
      <c r="K43" s="36">
        <v>0</v>
      </c>
      <c r="L43" s="31">
        <v>0</v>
      </c>
      <c r="M43" s="31">
        <v>0</v>
      </c>
      <c r="N43" s="36">
        <v>0</v>
      </c>
      <c r="O43" s="31">
        <v>0</v>
      </c>
      <c r="P43" s="36">
        <v>0</v>
      </c>
      <c r="Q43" s="36">
        <v>0</v>
      </c>
      <c r="R43" s="36">
        <v>0</v>
      </c>
      <c r="S43" s="31">
        <v>0</v>
      </c>
      <c r="T43" s="36">
        <v>0</v>
      </c>
      <c r="U43" s="31">
        <v>0</v>
      </c>
      <c r="V43" s="31">
        <v>0</v>
      </c>
      <c r="W43" s="36">
        <v>0</v>
      </c>
      <c r="X43" s="36">
        <v>500</v>
      </c>
      <c r="Y43" s="36">
        <v>0</v>
      </c>
      <c r="Z43" s="31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f t="shared" si="9"/>
        <v>500</v>
      </c>
      <c r="AF43" s="36">
        <v>10000</v>
      </c>
      <c r="AG43" s="36">
        <f>SUM(AE43+AF43)</f>
        <v>10500</v>
      </c>
    </row>
    <row r="44" spans="1:33" ht="12.75">
      <c r="A44" s="14" t="s">
        <v>62</v>
      </c>
      <c r="B44" s="15">
        <v>601</v>
      </c>
      <c r="C44" s="31">
        <v>0</v>
      </c>
      <c r="D44" s="36">
        <v>0</v>
      </c>
      <c r="E44" s="36">
        <v>0</v>
      </c>
      <c r="F44" s="36">
        <v>0</v>
      </c>
      <c r="G44" s="31">
        <v>0</v>
      </c>
      <c r="H44" s="36">
        <v>0</v>
      </c>
      <c r="I44" s="31">
        <v>0</v>
      </c>
      <c r="J44" s="36">
        <v>0</v>
      </c>
      <c r="K44" s="36">
        <v>0</v>
      </c>
      <c r="L44" s="31">
        <v>0</v>
      </c>
      <c r="M44" s="31">
        <v>0</v>
      </c>
      <c r="N44" s="36">
        <v>0</v>
      </c>
      <c r="O44" s="31">
        <v>0</v>
      </c>
      <c r="P44" s="36">
        <v>0</v>
      </c>
      <c r="Q44" s="36">
        <v>0</v>
      </c>
      <c r="R44" s="36">
        <v>0</v>
      </c>
      <c r="S44" s="31">
        <v>0</v>
      </c>
      <c r="T44" s="36">
        <v>0</v>
      </c>
      <c r="U44" s="31">
        <v>0</v>
      </c>
      <c r="V44" s="31">
        <v>0</v>
      </c>
      <c r="W44" s="36">
        <v>0</v>
      </c>
      <c r="X44" s="36">
        <v>1000</v>
      </c>
      <c r="Y44" s="36">
        <v>0</v>
      </c>
      <c r="Z44" s="31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f t="shared" si="9"/>
        <v>1000</v>
      </c>
      <c r="AF44" s="36">
        <v>5000</v>
      </c>
      <c r="AG44" s="36">
        <f>SUM(AE44+AF44)</f>
        <v>6000</v>
      </c>
    </row>
    <row r="45" spans="1:33" s="18" customFormat="1" ht="12.75">
      <c r="A45" s="27" t="s">
        <v>63</v>
      </c>
      <c r="B45" s="11"/>
      <c r="C45" s="20">
        <f aca="true" t="shared" si="10" ref="C45:AD45">SUM(C46:C56)</f>
        <v>18500</v>
      </c>
      <c r="D45" s="38">
        <f t="shared" si="10"/>
        <v>43188</v>
      </c>
      <c r="E45" s="38">
        <f t="shared" si="10"/>
        <v>19300</v>
      </c>
      <c r="F45" s="38">
        <f t="shared" si="10"/>
        <v>14700</v>
      </c>
      <c r="G45" s="20">
        <f t="shared" si="10"/>
        <v>3266</v>
      </c>
      <c r="H45" s="38">
        <f t="shared" si="10"/>
        <v>2930</v>
      </c>
      <c r="I45" s="20">
        <f t="shared" si="10"/>
        <v>11096</v>
      </c>
      <c r="J45" s="38">
        <f t="shared" si="10"/>
        <v>10550</v>
      </c>
      <c r="K45" s="38">
        <f>SUM(K46:K56)</f>
        <v>5800</v>
      </c>
      <c r="L45" s="20">
        <f>SUM(L46:L56)</f>
        <v>5000</v>
      </c>
      <c r="M45" s="20">
        <f t="shared" si="10"/>
        <v>5200</v>
      </c>
      <c r="N45" s="38">
        <f t="shared" si="10"/>
        <v>3775</v>
      </c>
      <c r="O45" s="20">
        <f t="shared" si="10"/>
        <v>13800</v>
      </c>
      <c r="P45" s="38">
        <f t="shared" si="10"/>
        <v>5450</v>
      </c>
      <c r="Q45" s="38">
        <f t="shared" si="10"/>
        <v>10040</v>
      </c>
      <c r="R45" s="38">
        <f>SUM(R46:R56)</f>
        <v>15100</v>
      </c>
      <c r="S45" s="20">
        <f t="shared" si="10"/>
        <v>3607.75</v>
      </c>
      <c r="T45" s="38">
        <f t="shared" si="10"/>
        <v>11200</v>
      </c>
      <c r="U45" s="20">
        <f t="shared" si="10"/>
        <v>3900</v>
      </c>
      <c r="V45" s="20">
        <f t="shared" si="10"/>
        <v>5300</v>
      </c>
      <c r="W45" s="38">
        <f t="shared" si="10"/>
        <v>6820</v>
      </c>
      <c r="X45" s="38">
        <f>SUM(X46:X56)</f>
        <v>25600</v>
      </c>
      <c r="Y45" s="38">
        <f t="shared" si="10"/>
        <v>131500</v>
      </c>
      <c r="Z45" s="20">
        <f t="shared" si="10"/>
        <v>34560</v>
      </c>
      <c r="AA45" s="38">
        <f t="shared" si="10"/>
        <v>1800</v>
      </c>
      <c r="AB45" s="38">
        <f t="shared" si="10"/>
        <v>6400</v>
      </c>
      <c r="AC45" s="38">
        <f t="shared" si="10"/>
        <v>4970</v>
      </c>
      <c r="AD45" s="38">
        <f t="shared" si="10"/>
        <v>4000</v>
      </c>
      <c r="AE45" s="38">
        <f t="shared" si="9"/>
        <v>427352.75</v>
      </c>
      <c r="AF45" s="38">
        <f>SUM(AF46:AF56)</f>
        <v>230000</v>
      </c>
      <c r="AG45" s="38">
        <f>AE45+AF45</f>
        <v>657352.75</v>
      </c>
    </row>
    <row r="46" spans="1:33" ht="12.75">
      <c r="A46" s="14" t="s">
        <v>64</v>
      </c>
      <c r="B46" s="15">
        <v>602</v>
      </c>
      <c r="C46" s="31">
        <v>0</v>
      </c>
      <c r="D46" s="36">
        <v>0</v>
      </c>
      <c r="E46" s="36">
        <v>900</v>
      </c>
      <c r="F46" s="36">
        <v>700</v>
      </c>
      <c r="G46" s="31">
        <v>540</v>
      </c>
      <c r="H46" s="36">
        <v>0</v>
      </c>
      <c r="I46" s="31">
        <v>120</v>
      </c>
      <c r="J46" s="36">
        <v>0</v>
      </c>
      <c r="K46" s="36">
        <v>600</v>
      </c>
      <c r="L46" s="31">
        <v>1300</v>
      </c>
      <c r="M46" s="31">
        <v>400</v>
      </c>
      <c r="N46" s="36">
        <v>80</v>
      </c>
      <c r="O46" s="31">
        <v>1400</v>
      </c>
      <c r="P46" s="36">
        <v>1780</v>
      </c>
      <c r="Q46" s="36">
        <v>0</v>
      </c>
      <c r="R46" s="36">
        <v>1000</v>
      </c>
      <c r="S46" s="31">
        <v>0</v>
      </c>
      <c r="T46" s="36">
        <v>0</v>
      </c>
      <c r="U46" s="31">
        <v>0</v>
      </c>
      <c r="V46" s="31">
        <v>500</v>
      </c>
      <c r="W46" s="36">
        <v>440</v>
      </c>
      <c r="X46" s="36">
        <v>4200</v>
      </c>
      <c r="Y46" s="36">
        <v>5500</v>
      </c>
      <c r="Z46" s="31">
        <v>500</v>
      </c>
      <c r="AA46" s="36">
        <v>800</v>
      </c>
      <c r="AB46" s="36">
        <v>500</v>
      </c>
      <c r="AC46" s="36">
        <v>250</v>
      </c>
      <c r="AD46" s="36">
        <v>0</v>
      </c>
      <c r="AE46" s="36">
        <f t="shared" si="9"/>
        <v>21510</v>
      </c>
      <c r="AF46" s="36">
        <v>0</v>
      </c>
      <c r="AG46" s="36">
        <f aca="true" t="shared" si="11" ref="AG46:AG56">SUM(AE46+AF46)</f>
        <v>21510</v>
      </c>
    </row>
    <row r="47" spans="1:33" ht="12.75">
      <c r="A47" s="14" t="s">
        <v>65</v>
      </c>
      <c r="B47" s="15">
        <v>602</v>
      </c>
      <c r="C47" s="31">
        <v>0</v>
      </c>
      <c r="D47" s="36">
        <v>0</v>
      </c>
      <c r="E47" s="36">
        <v>5800</v>
      </c>
      <c r="F47" s="36">
        <v>0</v>
      </c>
      <c r="G47" s="31">
        <v>0</v>
      </c>
      <c r="H47" s="36">
        <v>0</v>
      </c>
      <c r="I47" s="31">
        <v>0</v>
      </c>
      <c r="J47" s="36">
        <v>0</v>
      </c>
      <c r="K47" s="36">
        <v>0</v>
      </c>
      <c r="L47" s="31">
        <v>0</v>
      </c>
      <c r="M47" s="31">
        <v>0</v>
      </c>
      <c r="N47" s="36">
        <v>0</v>
      </c>
      <c r="O47" s="31">
        <v>0</v>
      </c>
      <c r="P47" s="36">
        <v>0</v>
      </c>
      <c r="Q47" s="36">
        <v>0</v>
      </c>
      <c r="R47" s="36">
        <v>0</v>
      </c>
      <c r="S47" s="31">
        <v>0</v>
      </c>
      <c r="T47" s="36">
        <v>0</v>
      </c>
      <c r="U47" s="31">
        <v>0</v>
      </c>
      <c r="V47" s="31">
        <v>0</v>
      </c>
      <c r="W47" s="36">
        <v>0</v>
      </c>
      <c r="X47" s="36">
        <v>0</v>
      </c>
      <c r="Y47" s="36">
        <v>0</v>
      </c>
      <c r="Z47" s="31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f t="shared" si="9"/>
        <v>5800</v>
      </c>
      <c r="AF47" s="36">
        <v>40000</v>
      </c>
      <c r="AG47" s="36">
        <f t="shared" si="11"/>
        <v>45800</v>
      </c>
    </row>
    <row r="48" spans="1:33" ht="12.75">
      <c r="A48" s="14" t="s">
        <v>66</v>
      </c>
      <c r="B48" s="15">
        <v>602</v>
      </c>
      <c r="C48" s="31">
        <v>2500</v>
      </c>
      <c r="D48" s="36">
        <v>0</v>
      </c>
      <c r="E48" s="36">
        <f>3400+500</f>
        <v>3900</v>
      </c>
      <c r="F48" s="36">
        <v>3000</v>
      </c>
      <c r="G48" s="31">
        <v>1666</v>
      </c>
      <c r="H48" s="36">
        <v>1400</v>
      </c>
      <c r="I48" s="31">
        <v>1920</v>
      </c>
      <c r="J48" s="36">
        <v>1600</v>
      </c>
      <c r="K48" s="36">
        <v>1000</v>
      </c>
      <c r="L48" s="31">
        <v>1500</v>
      </c>
      <c r="M48" s="31">
        <v>850</v>
      </c>
      <c r="N48" s="36">
        <v>1580</v>
      </c>
      <c r="O48" s="31">
        <v>1800</v>
      </c>
      <c r="P48" s="36">
        <v>2670</v>
      </c>
      <c r="Q48" s="36">
        <v>1940</v>
      </c>
      <c r="R48" s="36">
        <v>3000</v>
      </c>
      <c r="S48" s="31">
        <v>1000</v>
      </c>
      <c r="T48" s="36">
        <v>4500</v>
      </c>
      <c r="U48" s="31">
        <v>2500</v>
      </c>
      <c r="V48" s="31">
        <v>2000</v>
      </c>
      <c r="W48" s="36">
        <v>480</v>
      </c>
      <c r="X48" s="36">
        <v>3600</v>
      </c>
      <c r="Y48" s="36">
        <v>50000</v>
      </c>
      <c r="Z48" s="31">
        <v>12000</v>
      </c>
      <c r="AA48" s="36">
        <v>600</v>
      </c>
      <c r="AB48" s="36">
        <v>2500</v>
      </c>
      <c r="AC48" s="36">
        <v>1170</v>
      </c>
      <c r="AD48" s="36">
        <v>0</v>
      </c>
      <c r="AE48" s="36">
        <f t="shared" si="9"/>
        <v>110676</v>
      </c>
      <c r="AF48" s="36">
        <v>30000</v>
      </c>
      <c r="AG48" s="36">
        <f t="shared" si="11"/>
        <v>140676</v>
      </c>
    </row>
    <row r="49" spans="1:33" ht="12.75">
      <c r="A49" s="14" t="s">
        <v>67</v>
      </c>
      <c r="B49" s="15">
        <v>602</v>
      </c>
      <c r="C49" s="31">
        <v>0</v>
      </c>
      <c r="D49" s="36">
        <v>0</v>
      </c>
      <c r="E49" s="36">
        <v>500</v>
      </c>
      <c r="F49" s="36">
        <v>1500</v>
      </c>
      <c r="G49" s="31">
        <v>0</v>
      </c>
      <c r="H49" s="36">
        <v>0</v>
      </c>
      <c r="I49" s="31">
        <v>0</v>
      </c>
      <c r="J49" s="36">
        <v>0</v>
      </c>
      <c r="K49" s="36">
        <v>0</v>
      </c>
      <c r="L49" s="31">
        <v>0</v>
      </c>
      <c r="M49" s="31">
        <v>0</v>
      </c>
      <c r="N49" s="36">
        <v>0</v>
      </c>
      <c r="O49" s="31">
        <v>1500</v>
      </c>
      <c r="P49" s="36">
        <v>0</v>
      </c>
      <c r="Q49" s="36">
        <v>0</v>
      </c>
      <c r="R49" s="36">
        <v>0</v>
      </c>
      <c r="S49" s="31">
        <v>0</v>
      </c>
      <c r="T49" s="36">
        <v>0</v>
      </c>
      <c r="U49" s="31">
        <v>0</v>
      </c>
      <c r="V49" s="31">
        <v>0</v>
      </c>
      <c r="W49" s="36">
        <v>0</v>
      </c>
      <c r="X49" s="36">
        <v>0</v>
      </c>
      <c r="Y49" s="36">
        <v>0</v>
      </c>
      <c r="Z49" s="31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f t="shared" si="9"/>
        <v>3500</v>
      </c>
      <c r="AF49" s="36">
        <v>5000</v>
      </c>
      <c r="AG49" s="36">
        <f t="shared" si="11"/>
        <v>8500</v>
      </c>
    </row>
    <row r="50" spans="1:33" ht="12.75">
      <c r="A50" s="14" t="s">
        <v>68</v>
      </c>
      <c r="B50" s="15">
        <v>602</v>
      </c>
      <c r="C50" s="31">
        <v>2500</v>
      </c>
      <c r="D50" s="36">
        <v>0</v>
      </c>
      <c r="E50" s="36">
        <v>2500</v>
      </c>
      <c r="F50" s="36">
        <v>2000</v>
      </c>
      <c r="G50" s="31">
        <v>920</v>
      </c>
      <c r="H50" s="36">
        <v>700</v>
      </c>
      <c r="I50" s="31">
        <v>1056</v>
      </c>
      <c r="J50" s="36">
        <v>1000</v>
      </c>
      <c r="K50" s="36">
        <v>2000</v>
      </c>
      <c r="L50" s="31">
        <v>600</v>
      </c>
      <c r="M50" s="31">
        <v>600</v>
      </c>
      <c r="N50" s="36">
        <v>1995</v>
      </c>
      <c r="O50" s="31">
        <v>2600</v>
      </c>
      <c r="P50" s="36">
        <v>0</v>
      </c>
      <c r="Q50" s="36">
        <v>1900</v>
      </c>
      <c r="R50" s="36">
        <v>2000</v>
      </c>
      <c r="S50" s="31">
        <v>1300</v>
      </c>
      <c r="T50" s="36">
        <v>1400</v>
      </c>
      <c r="U50" s="31">
        <v>1400</v>
      </c>
      <c r="V50" s="31">
        <v>1000</v>
      </c>
      <c r="W50" s="36">
        <v>1400</v>
      </c>
      <c r="X50" s="36">
        <v>3000</v>
      </c>
      <c r="Y50" s="36">
        <v>25000</v>
      </c>
      <c r="Z50" s="31">
        <v>720</v>
      </c>
      <c r="AA50" s="36">
        <v>200</v>
      </c>
      <c r="AB50" s="36">
        <v>2500</v>
      </c>
      <c r="AC50" s="36">
        <v>700</v>
      </c>
      <c r="AD50" s="36">
        <v>0</v>
      </c>
      <c r="AE50" s="36">
        <f t="shared" si="9"/>
        <v>60991</v>
      </c>
      <c r="AF50" s="36">
        <v>15000</v>
      </c>
      <c r="AG50" s="36">
        <f t="shared" si="11"/>
        <v>75991</v>
      </c>
    </row>
    <row r="51" spans="1:33" ht="12.75">
      <c r="A51" s="14" t="s">
        <v>69</v>
      </c>
      <c r="B51" s="15">
        <v>602</v>
      </c>
      <c r="C51" s="31">
        <v>0</v>
      </c>
      <c r="D51" s="36">
        <v>0</v>
      </c>
      <c r="E51" s="36">
        <v>500</v>
      </c>
      <c r="F51" s="36">
        <v>450</v>
      </c>
      <c r="G51" s="31">
        <v>140</v>
      </c>
      <c r="H51" s="36">
        <v>0</v>
      </c>
      <c r="I51" s="31">
        <v>0</v>
      </c>
      <c r="J51" s="36">
        <v>0</v>
      </c>
      <c r="K51" s="36">
        <v>300</v>
      </c>
      <c r="L51" s="31">
        <v>0</v>
      </c>
      <c r="M51" s="31">
        <v>50</v>
      </c>
      <c r="N51" s="36">
        <v>120</v>
      </c>
      <c r="O51" s="31">
        <v>600</v>
      </c>
      <c r="P51" s="36">
        <v>0</v>
      </c>
      <c r="Q51" s="36">
        <v>1200</v>
      </c>
      <c r="R51" s="36">
        <v>200</v>
      </c>
      <c r="S51" s="31">
        <v>0</v>
      </c>
      <c r="T51" s="36">
        <v>100</v>
      </c>
      <c r="U51" s="31">
        <v>0</v>
      </c>
      <c r="V51" s="31">
        <v>500</v>
      </c>
      <c r="W51" s="36">
        <v>500</v>
      </c>
      <c r="X51" s="36">
        <v>0</v>
      </c>
      <c r="Y51" s="36">
        <v>2500</v>
      </c>
      <c r="Z51" s="31">
        <v>100</v>
      </c>
      <c r="AA51" s="36">
        <v>0</v>
      </c>
      <c r="AB51" s="36">
        <v>600</v>
      </c>
      <c r="AC51" s="36">
        <v>300</v>
      </c>
      <c r="AD51" s="36">
        <v>0</v>
      </c>
      <c r="AE51" s="36">
        <f t="shared" si="9"/>
        <v>8160</v>
      </c>
      <c r="AF51" s="36">
        <v>2000</v>
      </c>
      <c r="AG51" s="36">
        <f t="shared" si="11"/>
        <v>10160</v>
      </c>
    </row>
    <row r="52" spans="1:33" ht="12.75" customHeight="1">
      <c r="A52" s="14" t="s">
        <v>70</v>
      </c>
      <c r="B52" s="15">
        <v>602</v>
      </c>
      <c r="C52" s="31">
        <v>10000</v>
      </c>
      <c r="D52" s="36">
        <v>0</v>
      </c>
      <c r="E52" s="36">
        <v>2500</v>
      </c>
      <c r="F52" s="36">
        <v>6000</v>
      </c>
      <c r="G52" s="31">
        <v>0</v>
      </c>
      <c r="H52" s="36">
        <v>700</v>
      </c>
      <c r="I52" s="31">
        <v>7000</v>
      </c>
      <c r="J52" s="36">
        <v>7000</v>
      </c>
      <c r="K52" s="36">
        <v>800</v>
      </c>
      <c r="L52" s="31">
        <v>0</v>
      </c>
      <c r="M52" s="31">
        <v>3000</v>
      </c>
      <c r="N52" s="36">
        <v>0</v>
      </c>
      <c r="O52" s="31">
        <v>4000</v>
      </c>
      <c r="P52" s="36">
        <v>0</v>
      </c>
      <c r="Q52" s="36">
        <v>5000</v>
      </c>
      <c r="R52" s="36">
        <v>0</v>
      </c>
      <c r="S52" s="31">
        <v>1120</v>
      </c>
      <c r="T52" s="36">
        <v>3200</v>
      </c>
      <c r="U52" s="31">
        <v>0</v>
      </c>
      <c r="V52" s="31">
        <v>1000</v>
      </c>
      <c r="W52" s="36">
        <v>0</v>
      </c>
      <c r="X52" s="36">
        <v>14800</v>
      </c>
      <c r="Y52" s="36">
        <v>1000</v>
      </c>
      <c r="Z52" s="31">
        <v>19800</v>
      </c>
      <c r="AA52" s="36">
        <v>0</v>
      </c>
      <c r="AB52" s="36">
        <v>0</v>
      </c>
      <c r="AC52" s="36">
        <v>0</v>
      </c>
      <c r="AD52" s="36">
        <v>0</v>
      </c>
      <c r="AE52" s="36">
        <f t="shared" si="9"/>
        <v>86920</v>
      </c>
      <c r="AF52" s="36">
        <v>15000</v>
      </c>
      <c r="AG52" s="36">
        <f t="shared" si="11"/>
        <v>101920</v>
      </c>
    </row>
    <row r="53" spans="1:33" ht="12.75">
      <c r="A53" s="14" t="s">
        <v>71</v>
      </c>
      <c r="B53" s="15">
        <v>602</v>
      </c>
      <c r="C53" s="31">
        <v>0</v>
      </c>
      <c r="D53" s="36">
        <v>43188</v>
      </c>
      <c r="E53" s="36">
        <v>500</v>
      </c>
      <c r="F53" s="36">
        <v>0</v>
      </c>
      <c r="G53" s="31">
        <v>0</v>
      </c>
      <c r="H53" s="36">
        <v>0</v>
      </c>
      <c r="I53" s="31">
        <v>0</v>
      </c>
      <c r="J53" s="36">
        <v>0</v>
      </c>
      <c r="K53" s="36">
        <v>0</v>
      </c>
      <c r="L53" s="31">
        <v>0</v>
      </c>
      <c r="M53" s="31">
        <v>0</v>
      </c>
      <c r="N53" s="36">
        <v>0</v>
      </c>
      <c r="O53" s="31">
        <v>600</v>
      </c>
      <c r="P53" s="36">
        <v>0</v>
      </c>
      <c r="Q53" s="36">
        <v>0</v>
      </c>
      <c r="R53" s="36">
        <v>2900</v>
      </c>
      <c r="S53" s="31">
        <v>0</v>
      </c>
      <c r="T53" s="36">
        <v>0</v>
      </c>
      <c r="U53" s="31">
        <v>0</v>
      </c>
      <c r="V53" s="31">
        <v>0</v>
      </c>
      <c r="W53" s="36">
        <v>0</v>
      </c>
      <c r="X53" s="36">
        <v>0</v>
      </c>
      <c r="Y53" s="36">
        <v>2000</v>
      </c>
      <c r="Z53" s="31">
        <v>0</v>
      </c>
      <c r="AA53" s="36">
        <v>0</v>
      </c>
      <c r="AB53" s="36">
        <v>0</v>
      </c>
      <c r="AC53" s="36">
        <v>400</v>
      </c>
      <c r="AD53" s="36">
        <v>0</v>
      </c>
      <c r="AE53" s="36">
        <f t="shared" si="9"/>
        <v>49588</v>
      </c>
      <c r="AF53" s="36">
        <v>30000</v>
      </c>
      <c r="AG53" s="36">
        <f t="shared" si="11"/>
        <v>79588</v>
      </c>
    </row>
    <row r="54" spans="1:33" ht="12.75">
      <c r="A54" s="14" t="s">
        <v>125</v>
      </c>
      <c r="B54" s="15">
        <v>602</v>
      </c>
      <c r="C54" s="31">
        <v>0</v>
      </c>
      <c r="D54" s="36">
        <v>0</v>
      </c>
      <c r="E54" s="36">
        <v>0</v>
      </c>
      <c r="F54" s="36">
        <v>850</v>
      </c>
      <c r="G54" s="31">
        <v>0</v>
      </c>
      <c r="H54" s="36">
        <v>130</v>
      </c>
      <c r="I54" s="31">
        <v>0</v>
      </c>
      <c r="J54" s="36">
        <v>950</v>
      </c>
      <c r="K54" s="36">
        <v>100</v>
      </c>
      <c r="L54" s="31">
        <v>1100</v>
      </c>
      <c r="M54" s="31">
        <v>200</v>
      </c>
      <c r="N54" s="36">
        <v>0</v>
      </c>
      <c r="O54" s="31">
        <v>1300</v>
      </c>
      <c r="P54" s="36">
        <v>1000</v>
      </c>
      <c r="Q54" s="36">
        <v>0</v>
      </c>
      <c r="R54" s="36">
        <v>6000</v>
      </c>
      <c r="S54" s="31">
        <v>187.75</v>
      </c>
      <c r="T54" s="36">
        <v>1800</v>
      </c>
      <c r="U54" s="31">
        <v>0</v>
      </c>
      <c r="V54" s="31">
        <v>200</v>
      </c>
      <c r="W54" s="36">
        <v>4000</v>
      </c>
      <c r="X54" s="36">
        <v>0</v>
      </c>
      <c r="Y54" s="36">
        <v>43000</v>
      </c>
      <c r="Z54" s="31">
        <v>1200</v>
      </c>
      <c r="AA54" s="36">
        <v>0</v>
      </c>
      <c r="AB54" s="36">
        <v>200</v>
      </c>
      <c r="AC54" s="36">
        <v>2150</v>
      </c>
      <c r="AD54" s="36">
        <v>4000</v>
      </c>
      <c r="AE54" s="36">
        <f t="shared" si="9"/>
        <v>68367.75</v>
      </c>
      <c r="AF54" s="36">
        <v>8000</v>
      </c>
      <c r="AG54" s="36">
        <f t="shared" si="11"/>
        <v>76367.75</v>
      </c>
    </row>
    <row r="55" spans="1:33" ht="12.75">
      <c r="A55" s="14" t="s">
        <v>72</v>
      </c>
      <c r="B55" s="15">
        <v>602</v>
      </c>
      <c r="C55" s="31">
        <v>3500</v>
      </c>
      <c r="D55" s="36">
        <v>0</v>
      </c>
      <c r="E55" s="36">
        <v>2000</v>
      </c>
      <c r="F55" s="36">
        <v>200</v>
      </c>
      <c r="G55" s="31">
        <v>0</v>
      </c>
      <c r="H55" s="36">
        <v>0</v>
      </c>
      <c r="I55" s="31">
        <v>1000</v>
      </c>
      <c r="J55" s="36">
        <v>0</v>
      </c>
      <c r="K55" s="36">
        <v>1000</v>
      </c>
      <c r="L55" s="31">
        <v>500</v>
      </c>
      <c r="M55" s="31">
        <v>100</v>
      </c>
      <c r="N55" s="36">
        <v>0</v>
      </c>
      <c r="O55" s="31">
        <v>0</v>
      </c>
      <c r="P55" s="36">
        <v>0</v>
      </c>
      <c r="Q55" s="36">
        <v>0</v>
      </c>
      <c r="R55" s="36">
        <v>0</v>
      </c>
      <c r="S55" s="31">
        <v>0</v>
      </c>
      <c r="T55" s="36">
        <v>200</v>
      </c>
      <c r="U55" s="31">
        <v>0</v>
      </c>
      <c r="V55" s="31">
        <v>0</v>
      </c>
      <c r="W55" s="36">
        <v>0</v>
      </c>
      <c r="X55" s="36">
        <v>0</v>
      </c>
      <c r="Y55" s="36">
        <v>2000</v>
      </c>
      <c r="Z55" s="31">
        <v>240</v>
      </c>
      <c r="AA55" s="36">
        <v>200</v>
      </c>
      <c r="AB55" s="36">
        <v>100</v>
      </c>
      <c r="AC55" s="36">
        <v>0</v>
      </c>
      <c r="AD55" s="36">
        <v>0</v>
      </c>
      <c r="AE55" s="36">
        <f t="shared" si="9"/>
        <v>11040</v>
      </c>
      <c r="AF55" s="36">
        <v>80000</v>
      </c>
      <c r="AG55" s="36">
        <f t="shared" si="11"/>
        <v>91040</v>
      </c>
    </row>
    <row r="56" spans="1:33" ht="12.75">
      <c r="A56" s="14" t="s">
        <v>73</v>
      </c>
      <c r="B56" s="15">
        <v>602</v>
      </c>
      <c r="C56" s="31">
        <v>0</v>
      </c>
      <c r="D56" s="36">
        <v>0</v>
      </c>
      <c r="E56" s="36">
        <v>200</v>
      </c>
      <c r="F56" s="36">
        <v>0</v>
      </c>
      <c r="G56" s="31">
        <v>0</v>
      </c>
      <c r="H56" s="36">
        <v>0</v>
      </c>
      <c r="I56" s="31">
        <v>0</v>
      </c>
      <c r="J56" s="36">
        <v>0</v>
      </c>
      <c r="K56" s="36">
        <v>0</v>
      </c>
      <c r="L56" s="31">
        <v>0</v>
      </c>
      <c r="M56" s="31">
        <v>0</v>
      </c>
      <c r="N56" s="36">
        <v>0</v>
      </c>
      <c r="O56" s="31">
        <v>0</v>
      </c>
      <c r="P56" s="36">
        <v>0</v>
      </c>
      <c r="Q56" s="36">
        <v>0</v>
      </c>
      <c r="R56" s="36">
        <v>0</v>
      </c>
      <c r="S56" s="31">
        <v>0</v>
      </c>
      <c r="T56" s="36">
        <v>0</v>
      </c>
      <c r="U56" s="31">
        <v>0</v>
      </c>
      <c r="V56" s="31">
        <v>100</v>
      </c>
      <c r="W56" s="36">
        <v>0</v>
      </c>
      <c r="X56" s="36">
        <v>0</v>
      </c>
      <c r="Y56" s="36">
        <v>500</v>
      </c>
      <c r="Z56" s="31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f t="shared" si="9"/>
        <v>800</v>
      </c>
      <c r="AF56" s="36">
        <v>5000</v>
      </c>
      <c r="AG56" s="36">
        <f t="shared" si="11"/>
        <v>5800</v>
      </c>
    </row>
    <row r="57" spans="1:33" s="18" customFormat="1" ht="12.75">
      <c r="A57" s="27" t="s">
        <v>74</v>
      </c>
      <c r="B57" s="11"/>
      <c r="C57" s="20">
        <f aca="true" t="shared" si="12" ref="C57:AD57">SUM(C58:C59)</f>
        <v>0</v>
      </c>
      <c r="D57" s="38">
        <f t="shared" si="12"/>
        <v>2000</v>
      </c>
      <c r="E57" s="38">
        <f t="shared" si="12"/>
        <v>2000</v>
      </c>
      <c r="F57" s="38">
        <f t="shared" si="12"/>
        <v>0</v>
      </c>
      <c r="G57" s="20">
        <f t="shared" si="12"/>
        <v>0</v>
      </c>
      <c r="H57" s="38">
        <f t="shared" si="12"/>
        <v>0</v>
      </c>
      <c r="I57" s="20">
        <f t="shared" si="12"/>
        <v>0</v>
      </c>
      <c r="J57" s="38">
        <f t="shared" si="12"/>
        <v>0</v>
      </c>
      <c r="K57" s="38">
        <f>SUM(K58:K59)</f>
        <v>0</v>
      </c>
      <c r="L57" s="20">
        <f>SUM(L58:L59)</f>
        <v>0</v>
      </c>
      <c r="M57" s="20">
        <f t="shared" si="12"/>
        <v>0</v>
      </c>
      <c r="N57" s="38">
        <f t="shared" si="12"/>
        <v>0</v>
      </c>
      <c r="O57" s="20">
        <f t="shared" si="12"/>
        <v>800</v>
      </c>
      <c r="P57" s="38">
        <f t="shared" si="12"/>
        <v>0</v>
      </c>
      <c r="Q57" s="38">
        <f t="shared" si="12"/>
        <v>0</v>
      </c>
      <c r="R57" s="38">
        <f>SUM(R58:R59)</f>
        <v>0</v>
      </c>
      <c r="S57" s="20">
        <f t="shared" si="12"/>
        <v>0</v>
      </c>
      <c r="T57" s="38">
        <f t="shared" si="12"/>
        <v>500</v>
      </c>
      <c r="U57" s="20">
        <f t="shared" si="12"/>
        <v>0</v>
      </c>
      <c r="V57" s="20">
        <f t="shared" si="12"/>
        <v>0</v>
      </c>
      <c r="W57" s="38">
        <f t="shared" si="12"/>
        <v>0</v>
      </c>
      <c r="X57" s="38">
        <f>SUM(X58:X59)</f>
        <v>0</v>
      </c>
      <c r="Y57" s="38">
        <f t="shared" si="12"/>
        <v>0</v>
      </c>
      <c r="Z57" s="20">
        <f t="shared" si="12"/>
        <v>0</v>
      </c>
      <c r="AA57" s="38">
        <f t="shared" si="12"/>
        <v>0</v>
      </c>
      <c r="AB57" s="38">
        <f t="shared" si="12"/>
        <v>0</v>
      </c>
      <c r="AC57" s="38">
        <f t="shared" si="12"/>
        <v>0</v>
      </c>
      <c r="AD57" s="38">
        <f t="shared" si="12"/>
        <v>0</v>
      </c>
      <c r="AE57" s="38">
        <f t="shared" si="9"/>
        <v>5300</v>
      </c>
      <c r="AF57" s="38">
        <f>SUM(AF58:AF59)</f>
        <v>15000</v>
      </c>
      <c r="AG57" s="38">
        <f>AE57+AF57</f>
        <v>20300</v>
      </c>
    </row>
    <row r="58" spans="1:33" ht="12.75">
      <c r="A58" s="14" t="s">
        <v>75</v>
      </c>
      <c r="B58" s="15">
        <v>603</v>
      </c>
      <c r="C58" s="31">
        <v>0</v>
      </c>
      <c r="D58" s="36">
        <v>2000</v>
      </c>
      <c r="E58" s="36">
        <v>2000</v>
      </c>
      <c r="F58" s="36">
        <v>0</v>
      </c>
      <c r="G58" s="31">
        <v>0</v>
      </c>
      <c r="H58" s="36">
        <v>0</v>
      </c>
      <c r="I58" s="31">
        <v>0</v>
      </c>
      <c r="J58" s="36">
        <v>0</v>
      </c>
      <c r="K58" s="36">
        <v>0</v>
      </c>
      <c r="L58" s="31">
        <v>0</v>
      </c>
      <c r="M58" s="31">
        <v>0</v>
      </c>
      <c r="N58" s="36">
        <v>0</v>
      </c>
      <c r="O58" s="31">
        <v>800</v>
      </c>
      <c r="P58" s="36">
        <v>0</v>
      </c>
      <c r="Q58" s="36">
        <v>0</v>
      </c>
      <c r="R58" s="36">
        <v>0</v>
      </c>
      <c r="S58" s="31">
        <v>0</v>
      </c>
      <c r="T58" s="36">
        <v>500</v>
      </c>
      <c r="U58" s="31">
        <v>0</v>
      </c>
      <c r="V58" s="31">
        <v>0</v>
      </c>
      <c r="W58" s="36">
        <v>0</v>
      </c>
      <c r="X58" s="36">
        <v>0</v>
      </c>
      <c r="Y58" s="36">
        <v>0</v>
      </c>
      <c r="Z58" s="31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f t="shared" si="9"/>
        <v>5300</v>
      </c>
      <c r="AF58" s="36">
        <v>10000</v>
      </c>
      <c r="AG58" s="36">
        <f>SUM(AE58+AF58)</f>
        <v>15300</v>
      </c>
    </row>
    <row r="59" spans="1:33" ht="12.75">
      <c r="A59" s="14" t="s">
        <v>76</v>
      </c>
      <c r="B59" s="15">
        <v>603</v>
      </c>
      <c r="C59" s="31">
        <v>0</v>
      </c>
      <c r="D59" s="36">
        <v>0</v>
      </c>
      <c r="E59" s="36">
        <v>0</v>
      </c>
      <c r="F59" s="36">
        <v>0</v>
      </c>
      <c r="G59" s="31">
        <v>0</v>
      </c>
      <c r="H59" s="36">
        <v>0</v>
      </c>
      <c r="I59" s="31">
        <v>0</v>
      </c>
      <c r="J59" s="36">
        <v>0</v>
      </c>
      <c r="K59" s="36">
        <v>0</v>
      </c>
      <c r="L59" s="31">
        <v>0</v>
      </c>
      <c r="M59" s="31">
        <v>0</v>
      </c>
      <c r="N59" s="36">
        <v>0</v>
      </c>
      <c r="O59" s="31">
        <v>0</v>
      </c>
      <c r="P59" s="36">
        <v>0</v>
      </c>
      <c r="Q59" s="36">
        <v>0</v>
      </c>
      <c r="R59" s="36">
        <v>0</v>
      </c>
      <c r="S59" s="31">
        <v>0</v>
      </c>
      <c r="T59" s="36">
        <v>0</v>
      </c>
      <c r="U59" s="31">
        <v>0</v>
      </c>
      <c r="V59" s="31">
        <v>0</v>
      </c>
      <c r="W59" s="36">
        <v>0</v>
      </c>
      <c r="X59" s="36">
        <v>0</v>
      </c>
      <c r="Y59" s="36">
        <v>0</v>
      </c>
      <c r="Z59" s="31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f t="shared" si="9"/>
        <v>0</v>
      </c>
      <c r="AF59" s="36">
        <v>5000</v>
      </c>
      <c r="AG59" s="36">
        <f>SUM(AE59+AF59)</f>
        <v>5000</v>
      </c>
    </row>
    <row r="60" spans="1:33" s="18" customFormat="1" ht="12.75">
      <c r="A60" s="27" t="s">
        <v>77</v>
      </c>
      <c r="B60" s="11"/>
      <c r="C60" s="20">
        <f aca="true" t="shared" si="13" ref="C60:AD60">SUM(C61:C63)</f>
        <v>15500</v>
      </c>
      <c r="D60" s="38">
        <f t="shared" si="13"/>
        <v>30000</v>
      </c>
      <c r="E60" s="38">
        <f t="shared" si="13"/>
        <v>43840</v>
      </c>
      <c r="F60" s="38">
        <f t="shared" si="13"/>
        <v>13500</v>
      </c>
      <c r="G60" s="20">
        <f t="shared" si="13"/>
        <v>6372</v>
      </c>
      <c r="H60" s="38">
        <f t="shared" si="13"/>
        <v>5150</v>
      </c>
      <c r="I60" s="20">
        <f t="shared" si="13"/>
        <v>7407</v>
      </c>
      <c r="J60" s="38">
        <f t="shared" si="13"/>
        <v>5000</v>
      </c>
      <c r="K60" s="38">
        <f>SUM(K61:K63)</f>
        <v>7400</v>
      </c>
      <c r="L60" s="20">
        <f>SUM(L61:L63)</f>
        <v>5800</v>
      </c>
      <c r="M60" s="20">
        <f t="shared" si="13"/>
        <v>5500</v>
      </c>
      <c r="N60" s="38">
        <f t="shared" si="13"/>
        <v>8650</v>
      </c>
      <c r="O60" s="20">
        <f t="shared" si="13"/>
        <v>14600</v>
      </c>
      <c r="P60" s="38">
        <f t="shared" si="13"/>
        <v>9345.6</v>
      </c>
      <c r="Q60" s="38">
        <f t="shared" si="13"/>
        <v>13820</v>
      </c>
      <c r="R60" s="38">
        <f>SUM(R61:R63)</f>
        <v>47400</v>
      </c>
      <c r="S60" s="20">
        <f t="shared" si="13"/>
        <v>10886</v>
      </c>
      <c r="T60" s="38">
        <f t="shared" si="13"/>
        <v>16600</v>
      </c>
      <c r="U60" s="20">
        <f t="shared" si="13"/>
        <v>8460</v>
      </c>
      <c r="V60" s="20">
        <f t="shared" si="13"/>
        <v>8000</v>
      </c>
      <c r="W60" s="38">
        <f t="shared" si="13"/>
        <v>11350</v>
      </c>
      <c r="X60" s="38">
        <f>SUM(X61:X63)</f>
        <v>18500</v>
      </c>
      <c r="Y60" s="38">
        <f t="shared" si="13"/>
        <v>199000</v>
      </c>
      <c r="Z60" s="20">
        <f t="shared" si="13"/>
        <v>3715</v>
      </c>
      <c r="AA60" s="38">
        <f t="shared" si="13"/>
        <v>5400</v>
      </c>
      <c r="AB60" s="38">
        <f t="shared" si="13"/>
        <v>16300</v>
      </c>
      <c r="AC60" s="38">
        <f t="shared" si="13"/>
        <v>5700</v>
      </c>
      <c r="AD60" s="38">
        <f t="shared" si="13"/>
        <v>8000</v>
      </c>
      <c r="AE60" s="38">
        <f t="shared" si="9"/>
        <v>551195.6</v>
      </c>
      <c r="AF60" s="38">
        <f>SUM(AF61:AF63)</f>
        <v>120000</v>
      </c>
      <c r="AG60" s="38">
        <f>AE60+AF60</f>
        <v>671195.6</v>
      </c>
    </row>
    <row r="61" spans="1:33" ht="12.75">
      <c r="A61" s="14" t="s">
        <v>78</v>
      </c>
      <c r="B61" s="15">
        <v>604</v>
      </c>
      <c r="C61" s="31">
        <v>12500</v>
      </c>
      <c r="D61" s="36">
        <v>30000</v>
      </c>
      <c r="E61" s="36">
        <v>17000</v>
      </c>
      <c r="F61" s="36">
        <v>8000</v>
      </c>
      <c r="G61" s="31">
        <v>5400</v>
      </c>
      <c r="H61" s="36">
        <v>0</v>
      </c>
      <c r="I61" s="31">
        <v>6274</v>
      </c>
      <c r="J61" s="36">
        <v>4000</v>
      </c>
      <c r="K61" s="36">
        <v>4500</v>
      </c>
      <c r="L61" s="31">
        <v>3500</v>
      </c>
      <c r="M61" s="31">
        <v>4600</v>
      </c>
      <c r="N61" s="36">
        <v>5750</v>
      </c>
      <c r="O61" s="31">
        <v>9600</v>
      </c>
      <c r="P61" s="36">
        <v>9345.6</v>
      </c>
      <c r="Q61" s="36">
        <v>12120</v>
      </c>
      <c r="R61" s="36">
        <v>25500</v>
      </c>
      <c r="S61" s="31">
        <v>6000</v>
      </c>
      <c r="T61" s="36">
        <v>4800</v>
      </c>
      <c r="U61" s="31">
        <v>3900</v>
      </c>
      <c r="V61" s="31">
        <v>3000</v>
      </c>
      <c r="W61" s="36">
        <v>9650</v>
      </c>
      <c r="X61" s="36">
        <v>18500</v>
      </c>
      <c r="Y61" s="36">
        <v>134000</v>
      </c>
      <c r="Z61" s="31">
        <v>3715</v>
      </c>
      <c r="AA61" s="36">
        <v>3600</v>
      </c>
      <c r="AB61" s="36">
        <v>8100</v>
      </c>
      <c r="AC61" s="36">
        <v>4730</v>
      </c>
      <c r="AD61" s="36">
        <v>6300</v>
      </c>
      <c r="AE61" s="36">
        <f t="shared" si="9"/>
        <v>364384.6</v>
      </c>
      <c r="AF61" s="36">
        <v>70000</v>
      </c>
      <c r="AG61" s="36">
        <f>SUM(AE61+AF61)</f>
        <v>434384.6</v>
      </c>
    </row>
    <row r="62" spans="1:33" ht="25.5">
      <c r="A62" s="14" t="s">
        <v>79</v>
      </c>
      <c r="B62" s="15">
        <v>604</v>
      </c>
      <c r="C62" s="31">
        <v>0</v>
      </c>
      <c r="D62" s="36">
        <v>0</v>
      </c>
      <c r="E62" s="36">
        <v>16800</v>
      </c>
      <c r="F62" s="36">
        <v>3500</v>
      </c>
      <c r="G62" s="31">
        <v>0</v>
      </c>
      <c r="H62" s="36">
        <v>4500</v>
      </c>
      <c r="I62" s="31">
        <v>0</v>
      </c>
      <c r="J62" s="36">
        <v>0</v>
      </c>
      <c r="K62" s="36">
        <v>1500</v>
      </c>
      <c r="L62" s="31">
        <v>1500</v>
      </c>
      <c r="M62" s="31">
        <v>0</v>
      </c>
      <c r="N62" s="36">
        <v>0</v>
      </c>
      <c r="O62" s="31">
        <v>2000</v>
      </c>
      <c r="P62" s="36">
        <v>0</v>
      </c>
      <c r="Q62" s="36">
        <v>0</v>
      </c>
      <c r="R62" s="36">
        <v>12900</v>
      </c>
      <c r="S62" s="31">
        <v>3800</v>
      </c>
      <c r="T62" s="36">
        <v>10400</v>
      </c>
      <c r="U62" s="31">
        <v>3000</v>
      </c>
      <c r="V62" s="31">
        <v>3000</v>
      </c>
      <c r="W62" s="36">
        <v>0</v>
      </c>
      <c r="X62" s="36">
        <v>0</v>
      </c>
      <c r="Y62" s="36">
        <v>40000</v>
      </c>
      <c r="Z62" s="31">
        <v>0</v>
      </c>
      <c r="AA62" s="36">
        <v>0</v>
      </c>
      <c r="AB62" s="36">
        <v>5550</v>
      </c>
      <c r="AC62" s="36">
        <v>0</v>
      </c>
      <c r="AD62" s="36">
        <v>0</v>
      </c>
      <c r="AE62" s="36">
        <f t="shared" si="9"/>
        <v>108450</v>
      </c>
      <c r="AF62" s="36">
        <v>35000</v>
      </c>
      <c r="AG62" s="36">
        <f>SUM(AE62+AF62)</f>
        <v>143450</v>
      </c>
    </row>
    <row r="63" spans="1:33" ht="12.75">
      <c r="A63" s="14" t="s">
        <v>80</v>
      </c>
      <c r="B63" s="15">
        <v>605</v>
      </c>
      <c r="C63" s="31">
        <v>3000</v>
      </c>
      <c r="D63" s="36">
        <v>0</v>
      </c>
      <c r="E63" s="36">
        <v>10040</v>
      </c>
      <c r="F63" s="36">
        <v>2000</v>
      </c>
      <c r="G63" s="31">
        <v>972</v>
      </c>
      <c r="H63" s="36">
        <v>650</v>
      </c>
      <c r="I63" s="31">
        <v>1133</v>
      </c>
      <c r="J63" s="36">
        <v>1000</v>
      </c>
      <c r="K63" s="36">
        <v>1400</v>
      </c>
      <c r="L63" s="31">
        <v>800</v>
      </c>
      <c r="M63" s="31">
        <v>900</v>
      </c>
      <c r="N63" s="36">
        <v>2900</v>
      </c>
      <c r="O63" s="31">
        <v>3000</v>
      </c>
      <c r="P63" s="36">
        <v>0</v>
      </c>
      <c r="Q63" s="36">
        <v>1700</v>
      </c>
      <c r="R63" s="36">
        <v>9000</v>
      </c>
      <c r="S63" s="31">
        <v>1086</v>
      </c>
      <c r="T63" s="36">
        <v>1400</v>
      </c>
      <c r="U63" s="31">
        <v>1560</v>
      </c>
      <c r="V63" s="31">
        <v>2000</v>
      </c>
      <c r="W63" s="36">
        <v>1700</v>
      </c>
      <c r="X63" s="36">
        <v>0</v>
      </c>
      <c r="Y63" s="36">
        <v>25000</v>
      </c>
      <c r="Z63" s="31">
        <v>0</v>
      </c>
      <c r="AA63" s="36">
        <v>1800</v>
      </c>
      <c r="AB63" s="36">
        <v>2650</v>
      </c>
      <c r="AC63" s="36">
        <v>970</v>
      </c>
      <c r="AD63" s="36">
        <v>1700</v>
      </c>
      <c r="AE63" s="36">
        <f t="shared" si="9"/>
        <v>78361</v>
      </c>
      <c r="AF63" s="36">
        <v>15000</v>
      </c>
      <c r="AG63" s="36">
        <f>SUM(AE63+AF63)</f>
        <v>93361</v>
      </c>
    </row>
    <row r="64" spans="1:33" s="18" customFormat="1" ht="12.75">
      <c r="A64" s="27" t="s">
        <v>81</v>
      </c>
      <c r="B64" s="11"/>
      <c r="C64" s="20">
        <f aca="true" t="shared" si="14" ref="C64:AD64">SUM(C65:C70)</f>
        <v>17000</v>
      </c>
      <c r="D64" s="38">
        <f t="shared" si="14"/>
        <v>15000</v>
      </c>
      <c r="E64" s="38">
        <f t="shared" si="14"/>
        <v>19700</v>
      </c>
      <c r="F64" s="38">
        <f t="shared" si="14"/>
        <v>6550</v>
      </c>
      <c r="G64" s="20">
        <f t="shared" si="14"/>
        <v>1650</v>
      </c>
      <c r="H64" s="38">
        <f t="shared" si="14"/>
        <v>3000</v>
      </c>
      <c r="I64" s="20">
        <f t="shared" si="14"/>
        <v>3650</v>
      </c>
      <c r="J64" s="38">
        <f t="shared" si="14"/>
        <v>3000</v>
      </c>
      <c r="K64" s="38">
        <f>SUM(K65:K70)</f>
        <v>2300</v>
      </c>
      <c r="L64" s="20">
        <f t="shared" si="14"/>
        <v>8200</v>
      </c>
      <c r="M64" s="20">
        <f t="shared" si="14"/>
        <v>3300</v>
      </c>
      <c r="N64" s="38">
        <f t="shared" si="14"/>
        <v>2010</v>
      </c>
      <c r="O64" s="20">
        <f t="shared" si="14"/>
        <v>16500</v>
      </c>
      <c r="P64" s="38">
        <f t="shared" si="14"/>
        <v>4050</v>
      </c>
      <c r="Q64" s="38">
        <f t="shared" si="14"/>
        <v>3500</v>
      </c>
      <c r="R64" s="38">
        <f t="shared" si="14"/>
        <v>15500</v>
      </c>
      <c r="S64" s="20">
        <f t="shared" si="14"/>
        <v>3450</v>
      </c>
      <c r="T64" s="38">
        <f t="shared" si="14"/>
        <v>4800</v>
      </c>
      <c r="U64" s="20">
        <f t="shared" si="14"/>
        <v>4500</v>
      </c>
      <c r="V64" s="20">
        <f t="shared" si="14"/>
        <v>8500</v>
      </c>
      <c r="W64" s="38">
        <f t="shared" si="14"/>
        <v>2000.6</v>
      </c>
      <c r="X64" s="38">
        <f t="shared" si="14"/>
        <v>10000</v>
      </c>
      <c r="Y64" s="38">
        <f t="shared" si="14"/>
        <v>70500</v>
      </c>
      <c r="Z64" s="20">
        <f t="shared" si="14"/>
        <v>3623.2</v>
      </c>
      <c r="AA64" s="38">
        <f t="shared" si="14"/>
        <v>1600</v>
      </c>
      <c r="AB64" s="38">
        <f t="shared" si="14"/>
        <v>9980</v>
      </c>
      <c r="AC64" s="38">
        <f t="shared" si="14"/>
        <v>6000</v>
      </c>
      <c r="AD64" s="38">
        <f t="shared" si="14"/>
        <v>4600</v>
      </c>
      <c r="AE64" s="38">
        <f>SUM(C64:AD64)</f>
        <v>254463.80000000002</v>
      </c>
      <c r="AF64" s="38">
        <f>SUM(AF65:AF70)</f>
        <v>45000</v>
      </c>
      <c r="AG64" s="38">
        <f>AE64+AF64</f>
        <v>299463.80000000005</v>
      </c>
    </row>
    <row r="65" spans="1:33" ht="12.75">
      <c r="A65" s="14" t="s">
        <v>82</v>
      </c>
      <c r="B65" s="15">
        <v>609</v>
      </c>
      <c r="C65" s="31">
        <v>10500</v>
      </c>
      <c r="D65" s="36">
        <v>15000</v>
      </c>
      <c r="E65" s="36">
        <v>5500</v>
      </c>
      <c r="F65" s="36">
        <v>3000</v>
      </c>
      <c r="G65" s="31">
        <v>1650</v>
      </c>
      <c r="H65" s="36">
        <v>1500</v>
      </c>
      <c r="I65" s="31">
        <v>850</v>
      </c>
      <c r="J65" s="36">
        <v>1000</v>
      </c>
      <c r="K65" s="36">
        <v>1500</v>
      </c>
      <c r="L65" s="31">
        <v>2000</v>
      </c>
      <c r="M65" s="31">
        <v>1500</v>
      </c>
      <c r="N65" s="36">
        <v>1320</v>
      </c>
      <c r="O65" s="31">
        <v>2800</v>
      </c>
      <c r="P65" s="36">
        <v>0</v>
      </c>
      <c r="Q65" s="36">
        <v>1500</v>
      </c>
      <c r="R65" s="36">
        <v>10000</v>
      </c>
      <c r="S65" s="31">
        <v>2000</v>
      </c>
      <c r="T65" s="36">
        <v>2300</v>
      </c>
      <c r="U65" s="31">
        <v>3500</v>
      </c>
      <c r="V65" s="31">
        <v>3000</v>
      </c>
      <c r="W65" s="36">
        <v>800</v>
      </c>
      <c r="X65" s="36">
        <v>1500</v>
      </c>
      <c r="Y65" s="36">
        <v>12500</v>
      </c>
      <c r="Z65" s="31">
        <v>2520</v>
      </c>
      <c r="AA65" s="36">
        <v>900</v>
      </c>
      <c r="AB65" s="36">
        <v>4000</v>
      </c>
      <c r="AC65" s="36">
        <v>3000</v>
      </c>
      <c r="AD65" s="36">
        <v>1100</v>
      </c>
      <c r="AE65" s="36">
        <f>SUM(C65:AD65)</f>
        <v>96740</v>
      </c>
      <c r="AF65" s="36">
        <v>5000</v>
      </c>
      <c r="AG65" s="36">
        <f>SUM(AE65+AF65)</f>
        <v>101740</v>
      </c>
    </row>
    <row r="66" spans="1:33" ht="12.75">
      <c r="A66" s="14" t="s">
        <v>83</v>
      </c>
      <c r="B66" s="15">
        <v>609</v>
      </c>
      <c r="C66" s="31">
        <v>0</v>
      </c>
      <c r="D66" s="36">
        <v>0</v>
      </c>
      <c r="E66" s="36">
        <v>1000</v>
      </c>
      <c r="F66" s="36">
        <v>0</v>
      </c>
      <c r="G66" s="31">
        <v>0</v>
      </c>
      <c r="H66" s="36">
        <v>0</v>
      </c>
      <c r="I66" s="31">
        <v>0</v>
      </c>
      <c r="J66" s="36">
        <v>0</v>
      </c>
      <c r="K66" s="36">
        <v>0</v>
      </c>
      <c r="L66" s="31">
        <v>0</v>
      </c>
      <c r="M66" s="31">
        <v>0</v>
      </c>
      <c r="N66" s="36">
        <v>0</v>
      </c>
      <c r="O66" s="31">
        <v>0</v>
      </c>
      <c r="P66" s="36">
        <v>0</v>
      </c>
      <c r="Q66" s="36">
        <v>0</v>
      </c>
      <c r="R66" s="36">
        <v>0</v>
      </c>
      <c r="S66" s="31">
        <v>0</v>
      </c>
      <c r="T66" s="36">
        <v>0</v>
      </c>
      <c r="U66" s="31">
        <v>0</v>
      </c>
      <c r="V66" s="31">
        <v>0</v>
      </c>
      <c r="W66" s="36">
        <v>0</v>
      </c>
      <c r="X66" s="36">
        <v>2500</v>
      </c>
      <c r="Y66" s="36">
        <v>40000</v>
      </c>
      <c r="Z66" s="31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f>SUM(C66:AD66)</f>
        <v>43500</v>
      </c>
      <c r="AF66" s="36">
        <v>10000</v>
      </c>
      <c r="AG66" s="36">
        <f>SUM(AE66+AF66)</f>
        <v>53500</v>
      </c>
    </row>
    <row r="67" spans="1:33" ht="25.5" customHeight="1">
      <c r="A67" s="14" t="s">
        <v>84</v>
      </c>
      <c r="B67" s="15">
        <v>609</v>
      </c>
      <c r="C67" s="31">
        <v>1500</v>
      </c>
      <c r="D67" s="36">
        <v>0</v>
      </c>
      <c r="E67" s="36">
        <v>8000</v>
      </c>
      <c r="F67" s="36">
        <v>600</v>
      </c>
      <c r="G67" s="31">
        <v>0</v>
      </c>
      <c r="H67" s="36">
        <v>1200</v>
      </c>
      <c r="I67" s="31">
        <v>2600</v>
      </c>
      <c r="J67" s="36">
        <v>2000</v>
      </c>
      <c r="K67" s="36">
        <v>500</v>
      </c>
      <c r="L67" s="31">
        <v>6000</v>
      </c>
      <c r="M67" s="31">
        <v>1300</v>
      </c>
      <c r="N67" s="36">
        <v>90</v>
      </c>
      <c r="O67" s="31">
        <v>4600</v>
      </c>
      <c r="P67" s="36">
        <v>3200</v>
      </c>
      <c r="Q67" s="36">
        <v>0</v>
      </c>
      <c r="R67" s="36">
        <v>1500</v>
      </c>
      <c r="S67" s="31">
        <v>1400</v>
      </c>
      <c r="T67" s="36">
        <v>1000</v>
      </c>
      <c r="U67" s="31">
        <v>1000</v>
      </c>
      <c r="V67" s="31">
        <v>3000</v>
      </c>
      <c r="W67" s="36">
        <v>600</v>
      </c>
      <c r="X67" s="36">
        <v>1500</v>
      </c>
      <c r="Y67" s="36">
        <v>5000</v>
      </c>
      <c r="Z67" s="31">
        <f>Z31*2/100</f>
        <v>803.2</v>
      </c>
      <c r="AA67" s="36">
        <v>200</v>
      </c>
      <c r="AB67" s="36">
        <v>3500</v>
      </c>
      <c r="AC67" s="36">
        <v>1800</v>
      </c>
      <c r="AD67" s="36">
        <v>3500</v>
      </c>
      <c r="AE67" s="36">
        <f>AE31*2/100</f>
        <v>41540.6894</v>
      </c>
      <c r="AF67" s="36">
        <v>10000</v>
      </c>
      <c r="AG67" s="36">
        <f>SUM(AE67+AF67)</f>
        <v>51540.6894</v>
      </c>
    </row>
    <row r="68" spans="1:33" ht="25.5">
      <c r="A68" s="14" t="s">
        <v>85</v>
      </c>
      <c r="B68" s="15">
        <v>609</v>
      </c>
      <c r="C68" s="31">
        <v>0</v>
      </c>
      <c r="D68" s="36">
        <v>0</v>
      </c>
      <c r="E68" s="36">
        <v>200</v>
      </c>
      <c r="F68" s="36">
        <v>2700</v>
      </c>
      <c r="G68" s="31">
        <v>0</v>
      </c>
      <c r="H68" s="36">
        <v>300</v>
      </c>
      <c r="I68" s="31">
        <v>0</v>
      </c>
      <c r="J68" s="36">
        <v>0</v>
      </c>
      <c r="K68" s="36">
        <v>150</v>
      </c>
      <c r="L68" s="31">
        <v>200</v>
      </c>
      <c r="M68" s="31">
        <v>500</v>
      </c>
      <c r="N68" s="36">
        <v>100</v>
      </c>
      <c r="O68" s="31">
        <v>2100</v>
      </c>
      <c r="P68" s="36">
        <v>0</v>
      </c>
      <c r="Q68" s="36">
        <v>2000</v>
      </c>
      <c r="R68" s="36">
        <v>2000</v>
      </c>
      <c r="S68" s="31">
        <v>50</v>
      </c>
      <c r="T68" s="36">
        <v>1500</v>
      </c>
      <c r="U68" s="31">
        <v>0</v>
      </c>
      <c r="V68" s="31">
        <v>500</v>
      </c>
      <c r="W68" s="36">
        <v>400</v>
      </c>
      <c r="X68" s="36">
        <v>2500</v>
      </c>
      <c r="Y68" s="36">
        <v>3000</v>
      </c>
      <c r="Z68" s="31">
        <v>300</v>
      </c>
      <c r="AA68" s="36">
        <v>0</v>
      </c>
      <c r="AB68" s="36">
        <v>1980</v>
      </c>
      <c r="AC68" s="36">
        <v>200</v>
      </c>
      <c r="AD68" s="36">
        <v>0</v>
      </c>
      <c r="AE68" s="36">
        <f>SUM(C68:AD68)</f>
        <v>20680</v>
      </c>
      <c r="AF68" s="36">
        <v>5000</v>
      </c>
      <c r="AG68" s="36">
        <f>SUM(AE68+AF68)</f>
        <v>25680</v>
      </c>
    </row>
    <row r="69" spans="1:33" ht="12.75" customHeight="1">
      <c r="A69" s="14" t="s">
        <v>86</v>
      </c>
      <c r="B69" s="15">
        <v>609</v>
      </c>
      <c r="C69" s="31">
        <v>0</v>
      </c>
      <c r="D69" s="36">
        <v>0</v>
      </c>
      <c r="E69" s="36">
        <v>0</v>
      </c>
      <c r="F69" s="36">
        <v>0</v>
      </c>
      <c r="G69" s="31">
        <v>0</v>
      </c>
      <c r="H69" s="36">
        <v>0</v>
      </c>
      <c r="I69" s="31">
        <v>0</v>
      </c>
      <c r="J69" s="36">
        <v>0</v>
      </c>
      <c r="K69" s="36">
        <v>0</v>
      </c>
      <c r="L69" s="31">
        <v>0</v>
      </c>
      <c r="M69" s="31">
        <v>0</v>
      </c>
      <c r="N69" s="36">
        <v>200</v>
      </c>
      <c r="O69" s="31">
        <v>2800</v>
      </c>
      <c r="P69" s="36">
        <v>0</v>
      </c>
      <c r="Q69" s="36">
        <v>0</v>
      </c>
      <c r="R69" s="36">
        <v>0</v>
      </c>
      <c r="S69" s="31">
        <v>0</v>
      </c>
      <c r="T69" s="36">
        <v>0</v>
      </c>
      <c r="U69" s="31">
        <v>0</v>
      </c>
      <c r="V69" s="31">
        <v>0</v>
      </c>
      <c r="W69" s="36">
        <v>0</v>
      </c>
      <c r="X69" s="36">
        <v>2000</v>
      </c>
      <c r="Y69" s="36">
        <v>10000</v>
      </c>
      <c r="Z69" s="31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f>SUM(C69:AD69)</f>
        <v>15000</v>
      </c>
      <c r="AF69" s="36">
        <v>5000</v>
      </c>
      <c r="AG69" s="53">
        <f>AE69+AF69</f>
        <v>20000</v>
      </c>
    </row>
    <row r="70" spans="1:33" ht="12.75" customHeight="1">
      <c r="A70" s="14" t="s">
        <v>124</v>
      </c>
      <c r="B70" s="15"/>
      <c r="C70" s="31">
        <v>5000</v>
      </c>
      <c r="D70" s="36"/>
      <c r="E70" s="36">
        <v>5000</v>
      </c>
      <c r="F70" s="36">
        <v>250</v>
      </c>
      <c r="G70" s="31">
        <v>0</v>
      </c>
      <c r="H70" s="36">
        <v>0</v>
      </c>
      <c r="I70" s="31">
        <v>200</v>
      </c>
      <c r="J70" s="36">
        <v>0</v>
      </c>
      <c r="K70" s="36">
        <v>150</v>
      </c>
      <c r="L70" s="60">
        <v>0</v>
      </c>
      <c r="M70" s="31"/>
      <c r="N70" s="36">
        <v>300</v>
      </c>
      <c r="O70" s="31">
        <v>4200</v>
      </c>
      <c r="P70" s="36">
        <v>850</v>
      </c>
      <c r="Q70" s="36"/>
      <c r="R70" s="36">
        <v>2000</v>
      </c>
      <c r="S70" s="31">
        <v>0</v>
      </c>
      <c r="T70" s="36">
        <v>0</v>
      </c>
      <c r="U70" s="31">
        <v>0</v>
      </c>
      <c r="V70" s="31">
        <v>2000</v>
      </c>
      <c r="W70" s="36">
        <v>200.6</v>
      </c>
      <c r="X70" s="36">
        <v>0</v>
      </c>
      <c r="Y70" s="36"/>
      <c r="Z70" s="31">
        <v>0</v>
      </c>
      <c r="AA70" s="36">
        <v>500</v>
      </c>
      <c r="AB70" s="36">
        <v>500</v>
      </c>
      <c r="AC70" s="36">
        <v>1000</v>
      </c>
      <c r="AD70" s="36">
        <v>0</v>
      </c>
      <c r="AE70" s="36">
        <f>SUM(C70:AD70)</f>
        <v>22150.6</v>
      </c>
      <c r="AF70" s="36">
        <v>10000</v>
      </c>
      <c r="AG70" s="53">
        <f>AE70+AF70</f>
        <v>32150.6</v>
      </c>
    </row>
    <row r="71" spans="1:33" ht="12.75">
      <c r="A71" s="16" t="s">
        <v>87</v>
      </c>
      <c r="B71" s="17"/>
      <c r="C71" s="20">
        <f aca="true" t="shared" si="15" ref="C71:AD71">C40+C45+C57+C60+C64</f>
        <v>57000</v>
      </c>
      <c r="D71" s="38">
        <f t="shared" si="15"/>
        <v>94188</v>
      </c>
      <c r="E71" s="38">
        <f t="shared" si="15"/>
        <v>90540</v>
      </c>
      <c r="F71" s="38">
        <f t="shared" si="15"/>
        <v>35750</v>
      </c>
      <c r="G71" s="20">
        <f t="shared" si="15"/>
        <v>11828</v>
      </c>
      <c r="H71" s="38">
        <f t="shared" si="15"/>
        <v>11780</v>
      </c>
      <c r="I71" s="20">
        <f t="shared" si="15"/>
        <v>22273</v>
      </c>
      <c r="J71" s="38">
        <f t="shared" si="15"/>
        <v>18950</v>
      </c>
      <c r="K71" s="38">
        <f>K40+K45+K57+K60+K64</f>
        <v>16200</v>
      </c>
      <c r="L71" s="20">
        <f>L40+L45+L57+L60+L64</f>
        <v>19500</v>
      </c>
      <c r="M71" s="20">
        <f t="shared" si="15"/>
        <v>15440</v>
      </c>
      <c r="N71" s="38">
        <f t="shared" si="15"/>
        <v>14755</v>
      </c>
      <c r="O71" s="20">
        <f t="shared" si="15"/>
        <v>47300</v>
      </c>
      <c r="P71" s="38">
        <f t="shared" si="15"/>
        <v>18845.6</v>
      </c>
      <c r="Q71" s="38">
        <f t="shared" si="15"/>
        <v>31260</v>
      </c>
      <c r="R71" s="38">
        <f>R40+R45+R57+R60+R64</f>
        <v>81500</v>
      </c>
      <c r="S71" s="20">
        <f t="shared" si="15"/>
        <v>18343.75</v>
      </c>
      <c r="T71" s="38">
        <f t="shared" si="15"/>
        <v>34300</v>
      </c>
      <c r="U71" s="20">
        <f t="shared" si="15"/>
        <v>17360</v>
      </c>
      <c r="V71" s="20">
        <f t="shared" si="15"/>
        <v>24000</v>
      </c>
      <c r="W71" s="38">
        <f t="shared" si="15"/>
        <v>22470.6</v>
      </c>
      <c r="X71" s="38">
        <f>X40+X45+X57+X60+X64</f>
        <v>58100</v>
      </c>
      <c r="Y71" s="38">
        <f t="shared" si="15"/>
        <v>447000</v>
      </c>
      <c r="Z71" s="20">
        <f t="shared" si="15"/>
        <v>44338.2</v>
      </c>
      <c r="AA71" s="38">
        <f t="shared" si="15"/>
        <v>9000</v>
      </c>
      <c r="AB71" s="38">
        <f t="shared" si="15"/>
        <v>35380</v>
      </c>
      <c r="AC71" s="38">
        <f t="shared" si="15"/>
        <v>17270</v>
      </c>
      <c r="AD71" s="38">
        <f t="shared" si="15"/>
        <v>19100</v>
      </c>
      <c r="AE71" s="38">
        <f>SUM(C71:AD71)</f>
        <v>1333772.15</v>
      </c>
      <c r="AF71" s="38">
        <f>AF40+AF45+AF57+AF60+AF64</f>
        <v>445000</v>
      </c>
      <c r="AG71" s="38">
        <f>AG40+AG45+AG57+AG60+AG64</f>
        <v>1778772.1500000001</v>
      </c>
    </row>
    <row r="72" spans="1:33" ht="12.75" customHeight="1">
      <c r="A72" s="14"/>
      <c r="B72" s="15"/>
      <c r="C72" s="31"/>
      <c r="D72" s="36"/>
      <c r="E72" s="36"/>
      <c r="F72" s="36"/>
      <c r="G72" s="31"/>
      <c r="H72" s="36"/>
      <c r="I72" s="31"/>
      <c r="J72" s="36"/>
      <c r="K72" s="36"/>
      <c r="L72" s="31"/>
      <c r="M72" s="31"/>
      <c r="N72" s="36"/>
      <c r="O72" s="31"/>
      <c r="P72" s="36"/>
      <c r="Q72" s="36"/>
      <c r="R72" s="36"/>
      <c r="S72" s="31"/>
      <c r="T72" s="36"/>
      <c r="U72" s="31"/>
      <c r="V72" s="31"/>
      <c r="W72" s="36"/>
      <c r="X72" s="36"/>
      <c r="Y72" s="36"/>
      <c r="Z72" s="31"/>
      <c r="AA72" s="36"/>
      <c r="AB72" s="36"/>
      <c r="AC72" s="36"/>
      <c r="AD72" s="36"/>
      <c r="AE72" s="42"/>
      <c r="AF72" s="36"/>
      <c r="AG72" s="42"/>
    </row>
    <row r="73" spans="1:33" ht="12.75">
      <c r="A73" s="12" t="s">
        <v>88</v>
      </c>
      <c r="B73" s="13"/>
      <c r="C73" s="45"/>
      <c r="D73" s="35"/>
      <c r="E73" s="35"/>
      <c r="F73" s="35"/>
      <c r="G73" s="45"/>
      <c r="H73" s="35"/>
      <c r="I73" s="45"/>
      <c r="J73" s="35"/>
      <c r="K73" s="35"/>
      <c r="L73" s="45"/>
      <c r="M73" s="45"/>
      <c r="N73" s="35"/>
      <c r="O73" s="45"/>
      <c r="P73" s="35"/>
      <c r="Q73" s="35"/>
      <c r="R73" s="35"/>
      <c r="S73" s="45"/>
      <c r="T73" s="35"/>
      <c r="U73" s="45"/>
      <c r="V73" s="45"/>
      <c r="W73" s="35"/>
      <c r="X73" s="35"/>
      <c r="Y73" s="35"/>
      <c r="Z73" s="45"/>
      <c r="AA73" s="35"/>
      <c r="AB73" s="35"/>
      <c r="AC73" s="35"/>
      <c r="AD73" s="35"/>
      <c r="AE73" s="36" t="s">
        <v>38</v>
      </c>
      <c r="AF73" s="35"/>
      <c r="AG73" s="35"/>
    </row>
    <row r="74" spans="1:33" ht="12.75">
      <c r="A74" s="14" t="s">
        <v>89</v>
      </c>
      <c r="B74" s="15">
        <v>621</v>
      </c>
      <c r="C74" s="31">
        <v>0</v>
      </c>
      <c r="D74" s="36">
        <v>0</v>
      </c>
      <c r="E74" s="36">
        <v>0</v>
      </c>
      <c r="F74" s="36">
        <v>0</v>
      </c>
      <c r="G74" s="31">
        <v>0</v>
      </c>
      <c r="H74" s="36">
        <v>0</v>
      </c>
      <c r="I74" s="31">
        <v>0</v>
      </c>
      <c r="J74" s="36">
        <v>0</v>
      </c>
      <c r="K74" s="36">
        <v>0</v>
      </c>
      <c r="L74" s="31">
        <v>0</v>
      </c>
      <c r="M74" s="31">
        <v>0</v>
      </c>
      <c r="N74" s="36">
        <v>0</v>
      </c>
      <c r="O74" s="31">
        <v>0</v>
      </c>
      <c r="P74" s="36">
        <v>0</v>
      </c>
      <c r="Q74" s="36">
        <v>0</v>
      </c>
      <c r="R74" s="36">
        <v>0</v>
      </c>
      <c r="S74" s="31">
        <v>0</v>
      </c>
      <c r="T74" s="36">
        <v>0</v>
      </c>
      <c r="U74" s="31">
        <v>0</v>
      </c>
      <c r="V74" s="31">
        <v>0</v>
      </c>
      <c r="W74" s="36">
        <v>0</v>
      </c>
      <c r="X74" s="36">
        <v>0</v>
      </c>
      <c r="Y74" s="36">
        <v>0</v>
      </c>
      <c r="Z74" s="31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f>SUM(C74:AD74)</f>
        <v>0</v>
      </c>
      <c r="AF74" s="36">
        <v>0</v>
      </c>
      <c r="AG74" s="53">
        <f>AE74+AF74</f>
        <v>0</v>
      </c>
    </row>
    <row r="75" spans="1:33" ht="12.75" customHeight="1">
      <c r="A75" s="14" t="s">
        <v>90</v>
      </c>
      <c r="B75" s="15">
        <v>629</v>
      </c>
      <c r="C75" s="31">
        <v>0</v>
      </c>
      <c r="D75" s="36">
        <v>0</v>
      </c>
      <c r="E75" s="36">
        <v>210</v>
      </c>
      <c r="F75" s="36">
        <v>200</v>
      </c>
      <c r="G75" s="31">
        <v>204</v>
      </c>
      <c r="H75" s="36">
        <v>100</v>
      </c>
      <c r="I75" s="31">
        <v>0</v>
      </c>
      <c r="J75" s="36">
        <v>150</v>
      </c>
      <c r="K75" s="36">
        <v>0</v>
      </c>
      <c r="L75" s="31">
        <v>0</v>
      </c>
      <c r="M75" s="31">
        <v>0</v>
      </c>
      <c r="N75" s="36">
        <v>210</v>
      </c>
      <c r="O75" s="31">
        <v>350</v>
      </c>
      <c r="P75" s="36">
        <v>0</v>
      </c>
      <c r="Q75" s="36">
        <v>0</v>
      </c>
      <c r="R75" s="36">
        <v>0</v>
      </c>
      <c r="S75" s="31">
        <v>0</v>
      </c>
      <c r="T75" s="36">
        <v>202</v>
      </c>
      <c r="U75" s="31">
        <v>0</v>
      </c>
      <c r="V75" s="31">
        <v>300</v>
      </c>
      <c r="W75" s="36">
        <v>0</v>
      </c>
      <c r="X75" s="36">
        <v>300</v>
      </c>
      <c r="Y75" s="36">
        <v>0</v>
      </c>
      <c r="Z75" s="31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f>SUM(C75:AD75)</f>
        <v>2226</v>
      </c>
      <c r="AF75" s="36">
        <v>2000</v>
      </c>
      <c r="AG75" s="53">
        <f>AE75+AF75</f>
        <v>4226</v>
      </c>
    </row>
    <row r="76" spans="1:33" ht="12.75">
      <c r="A76" s="16" t="s">
        <v>91</v>
      </c>
      <c r="B76" s="17"/>
      <c r="C76" s="20">
        <f aca="true" t="shared" si="16" ref="C76:AD76">SUM(C74:C75)</f>
        <v>0</v>
      </c>
      <c r="D76" s="38">
        <f t="shared" si="16"/>
        <v>0</v>
      </c>
      <c r="E76" s="38">
        <f t="shared" si="16"/>
        <v>210</v>
      </c>
      <c r="F76" s="38">
        <f t="shared" si="16"/>
        <v>200</v>
      </c>
      <c r="G76" s="20">
        <f t="shared" si="16"/>
        <v>204</v>
      </c>
      <c r="H76" s="38">
        <f t="shared" si="16"/>
        <v>100</v>
      </c>
      <c r="I76" s="20">
        <f t="shared" si="16"/>
        <v>0</v>
      </c>
      <c r="J76" s="38">
        <f t="shared" si="16"/>
        <v>150</v>
      </c>
      <c r="K76" s="38">
        <f t="shared" si="16"/>
        <v>0</v>
      </c>
      <c r="L76" s="20">
        <f t="shared" si="16"/>
        <v>0</v>
      </c>
      <c r="M76" s="20">
        <f t="shared" si="16"/>
        <v>0</v>
      </c>
      <c r="N76" s="38">
        <f t="shared" si="16"/>
        <v>210</v>
      </c>
      <c r="O76" s="20">
        <f t="shared" si="16"/>
        <v>350</v>
      </c>
      <c r="P76" s="38">
        <f t="shared" si="16"/>
        <v>0</v>
      </c>
      <c r="Q76" s="38">
        <f t="shared" si="16"/>
        <v>0</v>
      </c>
      <c r="R76" s="38">
        <f t="shared" si="16"/>
        <v>0</v>
      </c>
      <c r="S76" s="20">
        <f t="shared" si="16"/>
        <v>0</v>
      </c>
      <c r="T76" s="38">
        <f t="shared" si="16"/>
        <v>202</v>
      </c>
      <c r="U76" s="20">
        <f t="shared" si="16"/>
        <v>0</v>
      </c>
      <c r="V76" s="20">
        <f t="shared" si="16"/>
        <v>300</v>
      </c>
      <c r="W76" s="38">
        <f t="shared" si="16"/>
        <v>0</v>
      </c>
      <c r="X76" s="38">
        <f t="shared" si="16"/>
        <v>300</v>
      </c>
      <c r="Y76" s="38">
        <f t="shared" si="16"/>
        <v>0</v>
      </c>
      <c r="Z76" s="20">
        <f t="shared" si="16"/>
        <v>0</v>
      </c>
      <c r="AA76" s="38">
        <f t="shared" si="16"/>
        <v>0</v>
      </c>
      <c r="AB76" s="38">
        <f t="shared" si="16"/>
        <v>0</v>
      </c>
      <c r="AC76" s="38">
        <f t="shared" si="16"/>
        <v>0</v>
      </c>
      <c r="AD76" s="38">
        <f t="shared" si="16"/>
        <v>0</v>
      </c>
      <c r="AE76" s="38">
        <f>SUM(C76:AD76)</f>
        <v>2226</v>
      </c>
      <c r="AF76" s="38">
        <f>SUM(AF74:AF75)</f>
        <v>2000</v>
      </c>
      <c r="AG76" s="38">
        <f>AE76+AF76</f>
        <v>4226</v>
      </c>
    </row>
    <row r="77" spans="1:33" ht="12.75">
      <c r="A77" s="12"/>
      <c r="B77" s="13"/>
      <c r="C77" s="31"/>
      <c r="D77" s="36"/>
      <c r="E77" s="36"/>
      <c r="F77" s="36"/>
      <c r="G77" s="31"/>
      <c r="H77" s="36"/>
      <c r="I77" s="31"/>
      <c r="J77" s="36"/>
      <c r="K77" s="36"/>
      <c r="L77" s="31"/>
      <c r="M77" s="31"/>
      <c r="N77" s="36"/>
      <c r="O77" s="31"/>
      <c r="P77" s="36"/>
      <c r="Q77" s="36"/>
      <c r="R77" s="36"/>
      <c r="S77" s="31"/>
      <c r="T77" s="36"/>
      <c r="U77" s="31"/>
      <c r="V77" s="31"/>
      <c r="W77" s="36"/>
      <c r="X77" s="36"/>
      <c r="Y77" s="36"/>
      <c r="Z77" s="31"/>
      <c r="AA77" s="36"/>
      <c r="AB77" s="36"/>
      <c r="AC77" s="36"/>
      <c r="AD77" s="36"/>
      <c r="AE77" s="36" t="s">
        <v>38</v>
      </c>
      <c r="AF77" s="35"/>
      <c r="AG77" s="35"/>
    </row>
    <row r="78" spans="1:33" ht="12.75">
      <c r="A78" s="12" t="s">
        <v>92</v>
      </c>
      <c r="B78" s="13"/>
      <c r="C78" s="31"/>
      <c r="D78" s="36"/>
      <c r="E78" s="36"/>
      <c r="F78" s="36"/>
      <c r="G78" s="31"/>
      <c r="H78" s="36"/>
      <c r="I78" s="31"/>
      <c r="J78" s="36"/>
      <c r="K78" s="36"/>
      <c r="L78" s="31"/>
      <c r="M78" s="31"/>
      <c r="N78" s="36"/>
      <c r="O78" s="31"/>
      <c r="P78" s="36"/>
      <c r="Q78" s="36"/>
      <c r="R78" s="36"/>
      <c r="S78" s="31"/>
      <c r="T78" s="36"/>
      <c r="U78" s="31"/>
      <c r="V78" s="31"/>
      <c r="W78" s="36"/>
      <c r="X78" s="36"/>
      <c r="Y78" s="36"/>
      <c r="Z78" s="31"/>
      <c r="AA78" s="36"/>
      <c r="AB78" s="36"/>
      <c r="AC78" s="36"/>
      <c r="AD78" s="36"/>
      <c r="AE78" s="36"/>
      <c r="AF78" s="35"/>
      <c r="AG78" s="35"/>
    </row>
    <row r="79" spans="1:33" ht="12.75">
      <c r="A79" s="14" t="s">
        <v>93</v>
      </c>
      <c r="B79" s="15"/>
      <c r="C79" s="31">
        <f>0.25*C17</f>
        <v>11325</v>
      </c>
      <c r="D79" s="36">
        <f aca="true" t="shared" si="17" ref="D79:AD79">0.25*D17</f>
        <v>37500</v>
      </c>
      <c r="E79" s="36">
        <f t="shared" si="17"/>
        <v>39202.5</v>
      </c>
      <c r="F79" s="36">
        <f t="shared" si="17"/>
        <v>13427.3675</v>
      </c>
      <c r="G79" s="31">
        <f t="shared" si="17"/>
        <v>4150.5</v>
      </c>
      <c r="H79" s="36">
        <f t="shared" si="17"/>
        <v>4275</v>
      </c>
      <c r="I79" s="31">
        <f t="shared" si="17"/>
        <v>5107</v>
      </c>
      <c r="J79" s="36">
        <f t="shared" si="17"/>
        <v>7200</v>
      </c>
      <c r="K79" s="36">
        <f>0.25*K17</f>
        <v>5430</v>
      </c>
      <c r="L79" s="31">
        <f t="shared" si="17"/>
        <v>5500</v>
      </c>
      <c r="M79" s="31">
        <f t="shared" si="17"/>
        <v>4500</v>
      </c>
      <c r="N79" s="36">
        <f t="shared" si="17"/>
        <v>4886.25</v>
      </c>
      <c r="O79" s="31">
        <f t="shared" si="17"/>
        <v>10620</v>
      </c>
      <c r="P79" s="36">
        <f t="shared" si="17"/>
        <v>6348.75</v>
      </c>
      <c r="Q79" s="36">
        <f t="shared" si="17"/>
        <v>11293.75</v>
      </c>
      <c r="R79" s="36">
        <f t="shared" si="17"/>
        <v>42307.5</v>
      </c>
      <c r="S79" s="31">
        <f t="shared" si="17"/>
        <v>4141.25</v>
      </c>
      <c r="T79" s="36">
        <f t="shared" si="17"/>
        <v>11797.5</v>
      </c>
      <c r="U79" s="31">
        <f t="shared" si="17"/>
        <v>3487.5</v>
      </c>
      <c r="V79" s="31">
        <f t="shared" si="17"/>
        <v>7350</v>
      </c>
      <c r="W79" s="36">
        <f t="shared" si="17"/>
        <v>7492.5</v>
      </c>
      <c r="X79" s="36">
        <f t="shared" si="17"/>
        <v>19800</v>
      </c>
      <c r="Y79" s="36">
        <f t="shared" si="17"/>
        <v>212500</v>
      </c>
      <c r="Z79" s="31">
        <f t="shared" si="17"/>
        <v>9540</v>
      </c>
      <c r="AA79" s="36">
        <f t="shared" si="17"/>
        <v>2752.5</v>
      </c>
      <c r="AB79" s="36">
        <f t="shared" si="17"/>
        <v>12807.5</v>
      </c>
      <c r="AC79" s="36">
        <f t="shared" si="17"/>
        <v>5628.75</v>
      </c>
      <c r="AD79" s="36">
        <f t="shared" si="17"/>
        <v>6375</v>
      </c>
      <c r="AE79" s="36">
        <f>SUM(C79:AD79)</f>
        <v>516746.1175</v>
      </c>
      <c r="AF79" s="36"/>
      <c r="AG79" s="53">
        <f>AE79+AF79</f>
        <v>516746.1175</v>
      </c>
    </row>
    <row r="80" spans="1:33" ht="12.75">
      <c r="A80" s="14" t="s">
        <v>94</v>
      </c>
      <c r="B80" s="15"/>
      <c r="C80" s="31">
        <v>0</v>
      </c>
      <c r="D80" s="36">
        <v>0</v>
      </c>
      <c r="E80" s="36">
        <v>0</v>
      </c>
      <c r="F80" s="36">
        <v>0</v>
      </c>
      <c r="G80" s="31">
        <v>0</v>
      </c>
      <c r="H80" s="36">
        <v>0</v>
      </c>
      <c r="I80" s="31">
        <v>0</v>
      </c>
      <c r="J80" s="36">
        <v>1500</v>
      </c>
      <c r="K80" s="36">
        <v>0</v>
      </c>
      <c r="L80" s="31">
        <v>0</v>
      </c>
      <c r="M80" s="31">
        <v>0</v>
      </c>
      <c r="N80" s="36">
        <v>93.75</v>
      </c>
      <c r="O80" s="31">
        <v>0</v>
      </c>
      <c r="P80" s="36">
        <v>0</v>
      </c>
      <c r="Q80" s="36">
        <v>0</v>
      </c>
      <c r="R80" s="36">
        <v>29137.5</v>
      </c>
      <c r="S80" s="31">
        <v>0</v>
      </c>
      <c r="T80" s="36">
        <v>0</v>
      </c>
      <c r="U80" s="31">
        <v>0</v>
      </c>
      <c r="V80" s="31">
        <v>650</v>
      </c>
      <c r="W80" s="36">
        <v>0</v>
      </c>
      <c r="X80" s="36">
        <v>0</v>
      </c>
      <c r="Y80" s="36">
        <v>0</v>
      </c>
      <c r="Z80" s="31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f>SUM(C80:AD80)</f>
        <v>31381.25</v>
      </c>
      <c r="AF80" s="36"/>
      <c r="AG80" s="53">
        <f>AE80+AF80</f>
        <v>31381.25</v>
      </c>
    </row>
    <row r="81" spans="1:34" ht="12.75">
      <c r="A81" s="16" t="s">
        <v>95</v>
      </c>
      <c r="B81" s="17"/>
      <c r="C81" s="20">
        <f aca="true" t="shared" si="18" ref="C81:AD81">SUM(C79:C80)</f>
        <v>11325</v>
      </c>
      <c r="D81" s="38">
        <f t="shared" si="18"/>
        <v>37500</v>
      </c>
      <c r="E81" s="38">
        <f t="shared" si="18"/>
        <v>39202.5</v>
      </c>
      <c r="F81" s="38">
        <f t="shared" si="18"/>
        <v>13427.3675</v>
      </c>
      <c r="G81" s="20">
        <f t="shared" si="18"/>
        <v>4150.5</v>
      </c>
      <c r="H81" s="38">
        <f t="shared" si="18"/>
        <v>4275</v>
      </c>
      <c r="I81" s="20">
        <f t="shared" si="18"/>
        <v>5107</v>
      </c>
      <c r="J81" s="38">
        <f t="shared" si="18"/>
        <v>8700</v>
      </c>
      <c r="K81" s="38">
        <f t="shared" si="18"/>
        <v>5430</v>
      </c>
      <c r="L81" s="20">
        <f t="shared" si="18"/>
        <v>5500</v>
      </c>
      <c r="M81" s="20">
        <f t="shared" si="18"/>
        <v>4500</v>
      </c>
      <c r="N81" s="38">
        <f t="shared" si="18"/>
        <v>4980</v>
      </c>
      <c r="O81" s="20">
        <f t="shared" si="18"/>
        <v>10620</v>
      </c>
      <c r="P81" s="38">
        <f t="shared" si="18"/>
        <v>6348.75</v>
      </c>
      <c r="Q81" s="38">
        <f t="shared" si="18"/>
        <v>11293.75</v>
      </c>
      <c r="R81" s="38">
        <f t="shared" si="18"/>
        <v>71445</v>
      </c>
      <c r="S81" s="20">
        <f t="shared" si="18"/>
        <v>4141.25</v>
      </c>
      <c r="T81" s="38">
        <f t="shared" si="18"/>
        <v>11797.5</v>
      </c>
      <c r="U81" s="20">
        <f t="shared" si="18"/>
        <v>3487.5</v>
      </c>
      <c r="V81" s="20">
        <f t="shared" si="18"/>
        <v>8000</v>
      </c>
      <c r="W81" s="38">
        <f t="shared" si="18"/>
        <v>7492.5</v>
      </c>
      <c r="X81" s="38">
        <f t="shared" si="18"/>
        <v>19800</v>
      </c>
      <c r="Y81" s="38">
        <f t="shared" si="18"/>
        <v>212500</v>
      </c>
      <c r="Z81" s="20">
        <f t="shared" si="18"/>
        <v>9540</v>
      </c>
      <c r="AA81" s="38">
        <f t="shared" si="18"/>
        <v>2752.5</v>
      </c>
      <c r="AB81" s="38">
        <f t="shared" si="18"/>
        <v>12807.5</v>
      </c>
      <c r="AC81" s="38">
        <f t="shared" si="18"/>
        <v>5628.75</v>
      </c>
      <c r="AD81" s="38">
        <f t="shared" si="18"/>
        <v>6375</v>
      </c>
      <c r="AE81" s="38">
        <f>SUM(C81:AD81)</f>
        <v>548127.3674999999</v>
      </c>
      <c r="AF81" s="38">
        <f>SUM(AF79:AF80)</f>
        <v>0</v>
      </c>
      <c r="AG81" s="38">
        <f>AE81+AF81</f>
        <v>548127.3674999999</v>
      </c>
      <c r="AH81" s="1">
        <v>1516886.61</v>
      </c>
    </row>
    <row r="82" spans="1:34" ht="12.75">
      <c r="A82" s="14"/>
      <c r="B82" s="15"/>
      <c r="C82" s="31"/>
      <c r="D82" s="36"/>
      <c r="E82" s="36"/>
      <c r="F82" s="36"/>
      <c r="G82" s="31"/>
      <c r="H82" s="36"/>
      <c r="I82" s="31"/>
      <c r="J82" s="36"/>
      <c r="K82" s="36"/>
      <c r="L82" s="31"/>
      <c r="M82" s="31"/>
      <c r="N82" s="36"/>
      <c r="O82" s="31"/>
      <c r="P82" s="36"/>
      <c r="Q82" s="36"/>
      <c r="R82" s="36"/>
      <c r="S82" s="31"/>
      <c r="T82" s="36"/>
      <c r="U82" s="31"/>
      <c r="V82" s="31"/>
      <c r="W82" s="36"/>
      <c r="X82" s="36"/>
      <c r="Y82" s="36"/>
      <c r="Z82" s="31"/>
      <c r="AA82" s="36"/>
      <c r="AB82" s="36"/>
      <c r="AC82" s="36"/>
      <c r="AD82" s="36"/>
      <c r="AE82" s="36"/>
      <c r="AF82" s="35"/>
      <c r="AG82" s="35"/>
      <c r="AH82" s="9">
        <v>347807.5</v>
      </c>
    </row>
    <row r="83" spans="1:34" ht="12.75">
      <c r="A83" s="19" t="s">
        <v>121</v>
      </c>
      <c r="B83" s="17"/>
      <c r="C83" s="20">
        <f aca="true" t="shared" si="19" ref="C83:AD83">C71+C76+C81</f>
        <v>68325</v>
      </c>
      <c r="D83" s="38">
        <f t="shared" si="19"/>
        <v>131688</v>
      </c>
      <c r="E83" s="38">
        <f t="shared" si="19"/>
        <v>129952.5</v>
      </c>
      <c r="F83" s="38">
        <f t="shared" si="19"/>
        <v>49377.3675</v>
      </c>
      <c r="G83" s="20">
        <f t="shared" si="19"/>
        <v>16182.5</v>
      </c>
      <c r="H83" s="38">
        <f t="shared" si="19"/>
        <v>16155</v>
      </c>
      <c r="I83" s="20">
        <f t="shared" si="19"/>
        <v>27380</v>
      </c>
      <c r="J83" s="38">
        <f t="shared" si="19"/>
        <v>27800</v>
      </c>
      <c r="K83" s="38">
        <f>K71+K76+K81</f>
        <v>21630</v>
      </c>
      <c r="L83" s="20">
        <f>L71+L76+L81</f>
        <v>25000</v>
      </c>
      <c r="M83" s="20">
        <f t="shared" si="19"/>
        <v>19940</v>
      </c>
      <c r="N83" s="38">
        <f t="shared" si="19"/>
        <v>19945</v>
      </c>
      <c r="O83" s="20">
        <f t="shared" si="19"/>
        <v>58270</v>
      </c>
      <c r="P83" s="38">
        <f t="shared" si="19"/>
        <v>25194.35</v>
      </c>
      <c r="Q83" s="38">
        <f t="shared" si="19"/>
        <v>42553.75</v>
      </c>
      <c r="R83" s="38">
        <f>R71+R76+R81</f>
        <v>152945</v>
      </c>
      <c r="S83" s="20">
        <f t="shared" si="19"/>
        <v>22485</v>
      </c>
      <c r="T83" s="38">
        <f t="shared" si="19"/>
        <v>46299.5</v>
      </c>
      <c r="U83" s="20">
        <f t="shared" si="19"/>
        <v>20847.5</v>
      </c>
      <c r="V83" s="20">
        <f t="shared" si="19"/>
        <v>32300</v>
      </c>
      <c r="W83" s="38">
        <f t="shared" si="19"/>
        <v>29963.1</v>
      </c>
      <c r="X83" s="38">
        <f>X71+X76+X81</f>
        <v>78200</v>
      </c>
      <c r="Y83" s="38">
        <f t="shared" si="19"/>
        <v>659500</v>
      </c>
      <c r="Z83" s="20">
        <f t="shared" si="19"/>
        <v>53878.2</v>
      </c>
      <c r="AA83" s="38">
        <f t="shared" si="19"/>
        <v>11752.5</v>
      </c>
      <c r="AB83" s="38">
        <f t="shared" si="19"/>
        <v>48187.5</v>
      </c>
      <c r="AC83" s="38">
        <f t="shared" si="19"/>
        <v>22898.75</v>
      </c>
      <c r="AD83" s="38">
        <f t="shared" si="19"/>
        <v>25475</v>
      </c>
      <c r="AE83" s="54">
        <f>SUM(C83:AD83)</f>
        <v>1884125.5174999998</v>
      </c>
      <c r="AF83" s="38">
        <f>AF71+AF76+AF81</f>
        <v>447000</v>
      </c>
      <c r="AG83" s="38">
        <f>AG71+AG76</f>
        <v>1782998.1500000001</v>
      </c>
      <c r="AH83" s="21">
        <f>AH81-AH82</f>
        <v>1169079.11</v>
      </c>
    </row>
    <row r="84" spans="1:34" ht="12.75">
      <c r="A84" s="12"/>
      <c r="B84" s="13"/>
      <c r="C84" s="45"/>
      <c r="D84" s="35"/>
      <c r="E84" s="35"/>
      <c r="F84" s="35"/>
      <c r="G84" s="45"/>
      <c r="H84" s="35"/>
      <c r="I84" s="45"/>
      <c r="J84" s="35"/>
      <c r="K84" s="35"/>
      <c r="L84" s="45"/>
      <c r="M84" s="45"/>
      <c r="N84" s="35"/>
      <c r="O84" s="45"/>
      <c r="P84" s="35"/>
      <c r="Q84" s="35"/>
      <c r="R84" s="36"/>
      <c r="S84" s="45"/>
      <c r="T84" s="36"/>
      <c r="U84" s="31"/>
      <c r="V84" s="31"/>
      <c r="W84" s="36"/>
      <c r="X84" s="36"/>
      <c r="Y84" s="36"/>
      <c r="Z84" s="31"/>
      <c r="AA84" s="36"/>
      <c r="AB84" s="36"/>
      <c r="AC84" s="36"/>
      <c r="AD84" s="36"/>
      <c r="AE84" s="57">
        <f>AE71+AE76</f>
        <v>1335998.15</v>
      </c>
      <c r="AF84" s="35"/>
      <c r="AG84" s="57">
        <f>AE84+AF83</f>
        <v>1782998.15</v>
      </c>
      <c r="AH84" s="21" t="e">
        <f>AE83-#REF!</f>
        <v>#REF!</v>
      </c>
    </row>
    <row r="85" spans="1:34" ht="12.75">
      <c r="A85" s="19" t="s">
        <v>96</v>
      </c>
      <c r="B85" s="17"/>
      <c r="C85" s="45"/>
      <c r="D85" s="35"/>
      <c r="E85" s="35"/>
      <c r="F85" s="35"/>
      <c r="G85" s="45"/>
      <c r="H85" s="35"/>
      <c r="I85" s="45"/>
      <c r="J85" s="35"/>
      <c r="K85" s="35"/>
      <c r="L85" s="45"/>
      <c r="M85" s="45"/>
      <c r="N85" s="35"/>
      <c r="O85" s="45"/>
      <c r="P85" s="35"/>
      <c r="Q85" s="35"/>
      <c r="R85" s="36"/>
      <c r="S85" s="45"/>
      <c r="T85" s="36"/>
      <c r="U85" s="31"/>
      <c r="V85" s="31"/>
      <c r="W85" s="36"/>
      <c r="X85" s="36"/>
      <c r="Y85" s="36"/>
      <c r="Z85" s="31"/>
      <c r="AA85" s="36"/>
      <c r="AB85" s="36"/>
      <c r="AC85" s="36"/>
      <c r="AD85" s="36"/>
      <c r="AE85" s="36"/>
      <c r="AF85" s="35"/>
      <c r="AG85" s="35"/>
      <c r="AH85" s="1" t="s">
        <v>38</v>
      </c>
    </row>
    <row r="86" spans="1:34" ht="12.75">
      <c r="A86" s="12" t="s">
        <v>97</v>
      </c>
      <c r="B86" s="13"/>
      <c r="C86" s="31" t="s">
        <v>38</v>
      </c>
      <c r="D86" s="36" t="s">
        <v>38</v>
      </c>
      <c r="E86" s="36" t="s">
        <v>38</v>
      </c>
      <c r="F86" s="36" t="s">
        <v>38</v>
      </c>
      <c r="G86" s="31" t="s">
        <v>38</v>
      </c>
      <c r="H86" s="36" t="s">
        <v>38</v>
      </c>
      <c r="I86" s="31" t="s">
        <v>38</v>
      </c>
      <c r="J86" s="36" t="s">
        <v>38</v>
      </c>
      <c r="K86" s="36" t="s">
        <v>38</v>
      </c>
      <c r="L86" s="31" t="s">
        <v>38</v>
      </c>
      <c r="M86" s="31" t="s">
        <v>38</v>
      </c>
      <c r="N86" s="36" t="s">
        <v>38</v>
      </c>
      <c r="O86" s="31" t="s">
        <v>38</v>
      </c>
      <c r="P86" s="36" t="s">
        <v>38</v>
      </c>
      <c r="Q86" s="36" t="s">
        <v>38</v>
      </c>
      <c r="R86" s="36" t="s">
        <v>38</v>
      </c>
      <c r="S86" s="31" t="s">
        <v>38</v>
      </c>
      <c r="T86" s="36" t="s">
        <v>38</v>
      </c>
      <c r="U86" s="31" t="s">
        <v>38</v>
      </c>
      <c r="V86" s="31" t="s">
        <v>38</v>
      </c>
      <c r="W86" s="36" t="s">
        <v>38</v>
      </c>
      <c r="X86" s="36" t="s">
        <v>38</v>
      </c>
      <c r="Y86" s="36" t="s">
        <v>38</v>
      </c>
      <c r="Z86" s="31" t="s">
        <v>38</v>
      </c>
      <c r="AA86" s="36" t="s">
        <v>38</v>
      </c>
      <c r="AB86" s="36" t="s">
        <v>38</v>
      </c>
      <c r="AC86" s="36" t="s">
        <v>38</v>
      </c>
      <c r="AD86" s="36" t="s">
        <v>38</v>
      </c>
      <c r="AE86" s="36" t="s">
        <v>38</v>
      </c>
      <c r="AF86" s="36">
        <v>60000</v>
      </c>
      <c r="AG86" s="35"/>
      <c r="AH86" s="22">
        <f>1558199.11-AG31</f>
        <v>-518841.35999999987</v>
      </c>
    </row>
    <row r="87" spans="1:33" ht="12.75">
      <c r="A87" s="12" t="s">
        <v>98</v>
      </c>
      <c r="B87" s="13"/>
      <c r="C87" s="31" t="s">
        <v>38</v>
      </c>
      <c r="D87" s="36" t="s">
        <v>38</v>
      </c>
      <c r="E87" s="36" t="s">
        <v>38</v>
      </c>
      <c r="F87" s="36" t="s">
        <v>38</v>
      </c>
      <c r="G87" s="31" t="s">
        <v>38</v>
      </c>
      <c r="H87" s="36" t="s">
        <v>38</v>
      </c>
      <c r="I87" s="31" t="s">
        <v>38</v>
      </c>
      <c r="J87" s="36" t="s">
        <v>38</v>
      </c>
      <c r="K87" s="36" t="s">
        <v>38</v>
      </c>
      <c r="L87" s="31" t="s">
        <v>38</v>
      </c>
      <c r="M87" s="31" t="s">
        <v>38</v>
      </c>
      <c r="N87" s="36" t="s">
        <v>38</v>
      </c>
      <c r="O87" s="31" t="s">
        <v>38</v>
      </c>
      <c r="P87" s="36" t="s">
        <v>38</v>
      </c>
      <c r="Q87" s="36" t="s">
        <v>38</v>
      </c>
      <c r="R87" s="36" t="s">
        <v>38</v>
      </c>
      <c r="S87" s="31" t="s">
        <v>38</v>
      </c>
      <c r="T87" s="36" t="s">
        <v>38</v>
      </c>
      <c r="U87" s="31" t="s">
        <v>38</v>
      </c>
      <c r="V87" s="31" t="s">
        <v>38</v>
      </c>
      <c r="W87" s="36" t="s">
        <v>38</v>
      </c>
      <c r="X87" s="36" t="s">
        <v>38</v>
      </c>
      <c r="Y87" s="36" t="s">
        <v>38</v>
      </c>
      <c r="Z87" s="31" t="s">
        <v>38</v>
      </c>
      <c r="AA87" s="36" t="s">
        <v>38</v>
      </c>
      <c r="AB87" s="36" t="s">
        <v>38</v>
      </c>
      <c r="AC87" s="36" t="s">
        <v>38</v>
      </c>
      <c r="AD87" s="36" t="s">
        <v>38</v>
      </c>
      <c r="AE87" s="36" t="s">
        <v>38</v>
      </c>
      <c r="AF87" s="36">
        <v>80000</v>
      </c>
      <c r="AG87" s="35"/>
    </row>
    <row r="88" spans="1:33" ht="12.75">
      <c r="A88" s="12" t="s">
        <v>99</v>
      </c>
      <c r="B88" s="13"/>
      <c r="C88" s="31" t="s">
        <v>38</v>
      </c>
      <c r="D88" s="36" t="s">
        <v>38</v>
      </c>
      <c r="E88" s="36" t="s">
        <v>38</v>
      </c>
      <c r="F88" s="36" t="s">
        <v>38</v>
      </c>
      <c r="G88" s="31" t="s">
        <v>38</v>
      </c>
      <c r="H88" s="36" t="s">
        <v>38</v>
      </c>
      <c r="I88" s="31" t="s">
        <v>38</v>
      </c>
      <c r="J88" s="36" t="s">
        <v>38</v>
      </c>
      <c r="K88" s="36" t="s">
        <v>38</v>
      </c>
      <c r="L88" s="31" t="s">
        <v>38</v>
      </c>
      <c r="M88" s="31" t="s">
        <v>38</v>
      </c>
      <c r="N88" s="36" t="s">
        <v>38</v>
      </c>
      <c r="O88" s="31" t="s">
        <v>38</v>
      </c>
      <c r="P88" s="36" t="s">
        <v>38</v>
      </c>
      <c r="Q88" s="36" t="s">
        <v>38</v>
      </c>
      <c r="R88" s="36" t="s">
        <v>38</v>
      </c>
      <c r="S88" s="31" t="s">
        <v>38</v>
      </c>
      <c r="T88" s="36" t="s">
        <v>38</v>
      </c>
      <c r="U88" s="31" t="s">
        <v>38</v>
      </c>
      <c r="V88" s="31" t="s">
        <v>38</v>
      </c>
      <c r="W88" s="36" t="s">
        <v>38</v>
      </c>
      <c r="X88" s="36" t="s">
        <v>38</v>
      </c>
      <c r="Y88" s="36" t="s">
        <v>38</v>
      </c>
      <c r="Z88" s="31" t="s">
        <v>38</v>
      </c>
      <c r="AA88" s="36" t="s">
        <v>38</v>
      </c>
      <c r="AB88" s="36" t="s">
        <v>38</v>
      </c>
      <c r="AC88" s="36" t="s">
        <v>38</v>
      </c>
      <c r="AD88" s="36" t="s">
        <v>38</v>
      </c>
      <c r="AE88" s="36" t="s">
        <v>38</v>
      </c>
      <c r="AF88" s="36">
        <v>12000</v>
      </c>
      <c r="AG88" s="35"/>
    </row>
    <row r="89" spans="1:33" ht="12.75">
      <c r="A89" s="12" t="s">
        <v>100</v>
      </c>
      <c r="B89" s="13"/>
      <c r="C89" s="31" t="s">
        <v>38</v>
      </c>
      <c r="D89" s="36" t="s">
        <v>38</v>
      </c>
      <c r="E89" s="36" t="s">
        <v>38</v>
      </c>
      <c r="F89" s="36" t="s">
        <v>38</v>
      </c>
      <c r="G89" s="31" t="s">
        <v>38</v>
      </c>
      <c r="H89" s="36" t="s">
        <v>38</v>
      </c>
      <c r="I89" s="31" t="s">
        <v>38</v>
      </c>
      <c r="J89" s="36" t="s">
        <v>38</v>
      </c>
      <c r="K89" s="36" t="s">
        <v>38</v>
      </c>
      <c r="L89" s="31" t="s">
        <v>38</v>
      </c>
      <c r="M89" s="31" t="s">
        <v>38</v>
      </c>
      <c r="N89" s="36" t="s">
        <v>38</v>
      </c>
      <c r="O89" s="31" t="s">
        <v>38</v>
      </c>
      <c r="P89" s="36" t="s">
        <v>38</v>
      </c>
      <c r="Q89" s="36" t="s">
        <v>38</v>
      </c>
      <c r="R89" s="36" t="s">
        <v>38</v>
      </c>
      <c r="S89" s="31" t="s">
        <v>38</v>
      </c>
      <c r="T89" s="36" t="s">
        <v>38</v>
      </c>
      <c r="U89" s="31" t="s">
        <v>38</v>
      </c>
      <c r="V89" s="31" t="s">
        <v>38</v>
      </c>
      <c r="W89" s="36" t="s">
        <v>38</v>
      </c>
      <c r="X89" s="36" t="s">
        <v>38</v>
      </c>
      <c r="Y89" s="36" t="s">
        <v>38</v>
      </c>
      <c r="Z89" s="31" t="s">
        <v>38</v>
      </c>
      <c r="AA89" s="36" t="s">
        <v>38</v>
      </c>
      <c r="AB89" s="36" t="s">
        <v>38</v>
      </c>
      <c r="AC89" s="36" t="s">
        <v>38</v>
      </c>
      <c r="AD89" s="36" t="s">
        <v>38</v>
      </c>
      <c r="AE89" s="36" t="s">
        <v>38</v>
      </c>
      <c r="AF89" s="36">
        <v>8000</v>
      </c>
      <c r="AG89" s="35"/>
    </row>
    <row r="90" spans="1:33" ht="12.75">
      <c r="A90" s="12" t="s">
        <v>122</v>
      </c>
      <c r="B90" s="13"/>
      <c r="C90" s="31" t="s">
        <v>38</v>
      </c>
      <c r="D90" s="36" t="s">
        <v>38</v>
      </c>
      <c r="E90" s="36" t="s">
        <v>38</v>
      </c>
      <c r="F90" s="36" t="s">
        <v>38</v>
      </c>
      <c r="G90" s="31" t="s">
        <v>38</v>
      </c>
      <c r="H90" s="36" t="s">
        <v>38</v>
      </c>
      <c r="I90" s="31" t="s">
        <v>38</v>
      </c>
      <c r="J90" s="36" t="s">
        <v>38</v>
      </c>
      <c r="K90" s="36" t="s">
        <v>38</v>
      </c>
      <c r="L90" s="31" t="s">
        <v>38</v>
      </c>
      <c r="M90" s="31" t="s">
        <v>38</v>
      </c>
      <c r="N90" s="36" t="s">
        <v>38</v>
      </c>
      <c r="O90" s="31" t="s">
        <v>38</v>
      </c>
      <c r="P90" s="36" t="s">
        <v>38</v>
      </c>
      <c r="Q90" s="36" t="s">
        <v>38</v>
      </c>
      <c r="R90" s="36" t="s">
        <v>38</v>
      </c>
      <c r="S90" s="31" t="s">
        <v>38</v>
      </c>
      <c r="T90" s="36" t="s">
        <v>38</v>
      </c>
      <c r="U90" s="31" t="s">
        <v>38</v>
      </c>
      <c r="V90" s="31" t="s">
        <v>38</v>
      </c>
      <c r="W90" s="36" t="s">
        <v>38</v>
      </c>
      <c r="X90" s="36" t="s">
        <v>38</v>
      </c>
      <c r="Y90" s="36" t="s">
        <v>38</v>
      </c>
      <c r="Z90" s="31" t="s">
        <v>38</v>
      </c>
      <c r="AA90" s="36" t="s">
        <v>38</v>
      </c>
      <c r="AB90" s="36" t="s">
        <v>38</v>
      </c>
      <c r="AC90" s="36" t="s">
        <v>38</v>
      </c>
      <c r="AD90" s="36" t="s">
        <v>38</v>
      </c>
      <c r="AE90" s="36" t="s">
        <v>38</v>
      </c>
      <c r="AF90" s="36">
        <v>40000</v>
      </c>
      <c r="AG90" s="35"/>
    </row>
    <row r="91" spans="1:33" ht="12.75">
      <c r="A91" s="12" t="s">
        <v>101</v>
      </c>
      <c r="B91" s="13"/>
      <c r="C91" s="31"/>
      <c r="D91" s="36"/>
      <c r="E91" s="36"/>
      <c r="F91" s="36"/>
      <c r="G91" s="31"/>
      <c r="H91" s="36"/>
      <c r="I91" s="31"/>
      <c r="J91" s="36"/>
      <c r="K91" s="36"/>
      <c r="L91" s="31"/>
      <c r="M91" s="31"/>
      <c r="N91" s="36"/>
      <c r="O91" s="31"/>
      <c r="P91" s="36"/>
      <c r="Q91" s="36"/>
      <c r="R91" s="36"/>
      <c r="S91" s="31"/>
      <c r="T91" s="36"/>
      <c r="U91" s="31"/>
      <c r="V91" s="31"/>
      <c r="W91" s="36"/>
      <c r="X91" s="36"/>
      <c r="Y91" s="36"/>
      <c r="Z91" s="31"/>
      <c r="AA91" s="36"/>
      <c r="AB91" s="36"/>
      <c r="AC91" s="36"/>
      <c r="AD91" s="36"/>
      <c r="AE91" s="36"/>
      <c r="AF91" s="36">
        <v>20000</v>
      </c>
      <c r="AG91" s="35"/>
    </row>
    <row r="92" spans="1:33" s="18" customFormat="1" ht="12.75">
      <c r="A92" s="23" t="s">
        <v>102</v>
      </c>
      <c r="B92" s="24"/>
      <c r="C92" s="20">
        <v>0</v>
      </c>
      <c r="D92" s="38">
        <f aca="true" t="shared" si="20" ref="D92:AD92">SUM(D86:D90)</f>
        <v>0</v>
      </c>
      <c r="E92" s="38">
        <f t="shared" si="20"/>
        <v>0</v>
      </c>
      <c r="F92" s="38">
        <f t="shared" si="20"/>
        <v>0</v>
      </c>
      <c r="G92" s="20">
        <f t="shared" si="20"/>
        <v>0</v>
      </c>
      <c r="H92" s="38">
        <f t="shared" si="20"/>
        <v>0</v>
      </c>
      <c r="I92" s="20">
        <f t="shared" si="20"/>
        <v>0</v>
      </c>
      <c r="J92" s="38">
        <f t="shared" si="20"/>
        <v>0</v>
      </c>
      <c r="K92" s="38">
        <f>SUM(K86:K90)</f>
        <v>0</v>
      </c>
      <c r="L92" s="20">
        <f>SUM(L86:L90)</f>
        <v>0</v>
      </c>
      <c r="M92" s="20">
        <f t="shared" si="20"/>
        <v>0</v>
      </c>
      <c r="N92" s="38">
        <f t="shared" si="20"/>
        <v>0</v>
      </c>
      <c r="O92" s="20">
        <f t="shared" si="20"/>
        <v>0</v>
      </c>
      <c r="P92" s="38">
        <f t="shared" si="20"/>
        <v>0</v>
      </c>
      <c r="Q92" s="38">
        <f t="shared" si="20"/>
        <v>0</v>
      </c>
      <c r="R92" s="38">
        <f>SUM(R86:R90)</f>
        <v>0</v>
      </c>
      <c r="S92" s="20">
        <f t="shared" si="20"/>
        <v>0</v>
      </c>
      <c r="T92" s="38">
        <f t="shared" si="20"/>
        <v>0</v>
      </c>
      <c r="U92" s="20">
        <f t="shared" si="20"/>
        <v>0</v>
      </c>
      <c r="V92" s="20">
        <f t="shared" si="20"/>
        <v>0</v>
      </c>
      <c r="W92" s="38">
        <f t="shared" si="20"/>
        <v>0</v>
      </c>
      <c r="X92" s="38">
        <f>SUM(X86:X90)</f>
        <v>0</v>
      </c>
      <c r="Y92" s="38">
        <f t="shared" si="20"/>
        <v>0</v>
      </c>
      <c r="Z92" s="20">
        <f t="shared" si="20"/>
        <v>0</v>
      </c>
      <c r="AA92" s="38">
        <f t="shared" si="20"/>
        <v>0</v>
      </c>
      <c r="AB92" s="38">
        <f t="shared" si="20"/>
        <v>0</v>
      </c>
      <c r="AC92" s="38">
        <f t="shared" si="20"/>
        <v>0</v>
      </c>
      <c r="AD92" s="38">
        <f t="shared" si="20"/>
        <v>0</v>
      </c>
      <c r="AE92" s="38">
        <f>SUM(C92:AD92)</f>
        <v>0</v>
      </c>
      <c r="AF92" s="38">
        <f>SUM(AF86:AF91)</f>
        <v>220000</v>
      </c>
      <c r="AG92" s="38">
        <f>AF92</f>
        <v>220000</v>
      </c>
    </row>
    <row r="93" spans="1:33" s="18" customFormat="1" ht="12.75">
      <c r="A93" s="25"/>
      <c r="B93" s="24"/>
      <c r="C93" s="20"/>
      <c r="D93" s="38"/>
      <c r="E93" s="38"/>
      <c r="F93" s="38"/>
      <c r="G93" s="20"/>
      <c r="H93" s="38"/>
      <c r="I93" s="20"/>
      <c r="J93" s="38"/>
      <c r="K93" s="38"/>
      <c r="L93" s="20"/>
      <c r="M93" s="20"/>
      <c r="N93" s="38"/>
      <c r="O93" s="20"/>
      <c r="P93" s="38"/>
      <c r="Q93" s="38"/>
      <c r="R93" s="38"/>
      <c r="S93" s="20"/>
      <c r="T93" s="38"/>
      <c r="U93" s="20"/>
      <c r="V93" s="20"/>
      <c r="W93" s="38"/>
      <c r="X93" s="38"/>
      <c r="Y93" s="38"/>
      <c r="Z93" s="20"/>
      <c r="AA93" s="38"/>
      <c r="AB93" s="38"/>
      <c r="AC93" s="38"/>
      <c r="AD93" s="38"/>
      <c r="AE93" s="38"/>
      <c r="AF93" s="38"/>
      <c r="AG93" s="52"/>
    </row>
    <row r="94" spans="1:35" s="18" customFormat="1" ht="12.75">
      <c r="A94" s="23" t="s">
        <v>103</v>
      </c>
      <c r="B94" s="24"/>
      <c r="C94" s="20">
        <f aca="true" t="shared" si="21" ref="C94:AD94">C83+C92</f>
        <v>68325</v>
      </c>
      <c r="D94" s="38">
        <f t="shared" si="21"/>
        <v>131688</v>
      </c>
      <c r="E94" s="38">
        <f t="shared" si="21"/>
        <v>129952.5</v>
      </c>
      <c r="F94" s="38">
        <f t="shared" si="21"/>
        <v>49377.3675</v>
      </c>
      <c r="G94" s="20">
        <f t="shared" si="21"/>
        <v>16182.5</v>
      </c>
      <c r="H94" s="38">
        <f t="shared" si="21"/>
        <v>16155</v>
      </c>
      <c r="I94" s="20">
        <f t="shared" si="21"/>
        <v>27380</v>
      </c>
      <c r="J94" s="38">
        <f t="shared" si="21"/>
        <v>27800</v>
      </c>
      <c r="K94" s="38">
        <f>K83+K92</f>
        <v>21630</v>
      </c>
      <c r="L94" s="20">
        <f>L83+L92</f>
        <v>25000</v>
      </c>
      <c r="M94" s="20">
        <f t="shared" si="21"/>
        <v>19940</v>
      </c>
      <c r="N94" s="38">
        <f t="shared" si="21"/>
        <v>19945</v>
      </c>
      <c r="O94" s="20">
        <f t="shared" si="21"/>
        <v>58270</v>
      </c>
      <c r="P94" s="38">
        <f t="shared" si="21"/>
        <v>25194.35</v>
      </c>
      <c r="Q94" s="38">
        <f t="shared" si="21"/>
        <v>42553.75</v>
      </c>
      <c r="R94" s="38">
        <f>R83+R92</f>
        <v>152945</v>
      </c>
      <c r="S94" s="20">
        <f t="shared" si="21"/>
        <v>22485</v>
      </c>
      <c r="T94" s="38">
        <f t="shared" si="21"/>
        <v>46299.5</v>
      </c>
      <c r="U94" s="20">
        <f t="shared" si="21"/>
        <v>20847.5</v>
      </c>
      <c r="V94" s="20">
        <f t="shared" si="21"/>
        <v>32300</v>
      </c>
      <c r="W94" s="38">
        <f t="shared" si="21"/>
        <v>29963.1</v>
      </c>
      <c r="X94" s="38">
        <f>X83+X92</f>
        <v>78200</v>
      </c>
      <c r="Y94" s="38">
        <f t="shared" si="21"/>
        <v>659500</v>
      </c>
      <c r="Z94" s="20">
        <f t="shared" si="21"/>
        <v>53878.2</v>
      </c>
      <c r="AA94" s="38">
        <f t="shared" si="21"/>
        <v>11752.5</v>
      </c>
      <c r="AB94" s="38">
        <f t="shared" si="21"/>
        <v>48187.5</v>
      </c>
      <c r="AC94" s="38">
        <f t="shared" si="21"/>
        <v>22898.75</v>
      </c>
      <c r="AD94" s="38">
        <f t="shared" si="21"/>
        <v>25475</v>
      </c>
      <c r="AE94" s="54">
        <f>SUM(C94:AD94)</f>
        <v>1884125.5174999998</v>
      </c>
      <c r="AF94" s="38">
        <f>AF83+AF92</f>
        <v>667000</v>
      </c>
      <c r="AG94" s="56">
        <f>AG83+AG92</f>
        <v>2002998.1500000001</v>
      </c>
      <c r="AI94" s="18" t="s">
        <v>126</v>
      </c>
    </row>
    <row r="95" spans="1:35" s="18" customFormat="1" ht="12.75">
      <c r="A95" s="25"/>
      <c r="B95" s="24"/>
      <c r="C95" s="20"/>
      <c r="D95" s="38"/>
      <c r="E95" s="38"/>
      <c r="F95" s="38"/>
      <c r="G95" s="20"/>
      <c r="H95" s="38"/>
      <c r="I95" s="20"/>
      <c r="J95" s="38"/>
      <c r="K95" s="38"/>
      <c r="L95" s="20"/>
      <c r="M95" s="20"/>
      <c r="N95" s="38"/>
      <c r="O95" s="20"/>
      <c r="P95" s="38"/>
      <c r="Q95" s="38"/>
      <c r="R95" s="38"/>
      <c r="S95" s="20"/>
      <c r="T95" s="38"/>
      <c r="U95" s="20"/>
      <c r="V95" s="20"/>
      <c r="W95" s="38"/>
      <c r="X95" s="38"/>
      <c r="Y95" s="38"/>
      <c r="Z95" s="20"/>
      <c r="AA95" s="38"/>
      <c r="AB95" s="38"/>
      <c r="AC95" s="38"/>
      <c r="AD95" s="38"/>
      <c r="AE95" s="38"/>
      <c r="AF95" s="38"/>
      <c r="AG95" s="38">
        <f>AE94+AF94-AG81</f>
        <v>2002998.1500000001</v>
      </c>
      <c r="AI95" s="18" t="s">
        <v>104</v>
      </c>
    </row>
    <row r="96" spans="1:33" s="18" customFormat="1" ht="12.75">
      <c r="A96" s="23" t="s">
        <v>131</v>
      </c>
      <c r="B96" s="23"/>
      <c r="C96" s="20">
        <f>C94/C7</f>
        <v>234.79381443298968</v>
      </c>
      <c r="D96" s="20">
        <f>D94/D7</f>
        <v>193.9440353460972</v>
      </c>
      <c r="E96" s="20">
        <f aca="true" t="shared" si="22" ref="E96:AD96">E94/E7</f>
        <v>152.70564042303172</v>
      </c>
      <c r="F96" s="20">
        <f t="shared" si="22"/>
        <v>183.55898698884758</v>
      </c>
      <c r="G96" s="20">
        <f t="shared" si="22"/>
        <v>212.92763157894737</v>
      </c>
      <c r="H96" s="20">
        <f t="shared" si="22"/>
        <v>199.44444444444446</v>
      </c>
      <c r="I96" s="20">
        <f t="shared" si="22"/>
        <v>232.03389830508473</v>
      </c>
      <c r="J96" s="20">
        <f t="shared" si="22"/>
        <v>180.5194805194805</v>
      </c>
      <c r="K96" s="20">
        <f t="shared" si="22"/>
        <v>188.08695652173913</v>
      </c>
      <c r="L96" s="20">
        <f t="shared" si="22"/>
        <v>219.2982456140351</v>
      </c>
      <c r="M96" s="20">
        <f t="shared" si="22"/>
        <v>199.4</v>
      </c>
      <c r="N96" s="20">
        <f t="shared" si="22"/>
        <v>214.46236559139786</v>
      </c>
      <c r="O96" s="20">
        <f t="shared" si="22"/>
        <v>281.4975845410628</v>
      </c>
      <c r="P96" s="20">
        <f t="shared" si="22"/>
        <v>224.94955357142857</v>
      </c>
      <c r="Q96" s="20">
        <f t="shared" si="22"/>
        <v>197.00810185185185</v>
      </c>
      <c r="R96" s="20">
        <f t="shared" si="22"/>
        <v>189.9937888198758</v>
      </c>
      <c r="S96" s="20">
        <f t="shared" si="22"/>
        <v>270.90361445783134</v>
      </c>
      <c r="T96" s="20">
        <f t="shared" si="22"/>
        <v>197.0191489361702</v>
      </c>
      <c r="U96" s="20">
        <f t="shared" si="22"/>
        <v>274.3092105263158</v>
      </c>
      <c r="V96" s="20">
        <f t="shared" si="22"/>
        <v>219.7278911564626</v>
      </c>
      <c r="W96" s="20">
        <f t="shared" si="22"/>
        <v>212.50425531914894</v>
      </c>
      <c r="X96" s="20">
        <f t="shared" si="22"/>
        <v>207.9787234042553</v>
      </c>
      <c r="Y96" s="20">
        <f t="shared" si="22"/>
        <v>138.60865910046238</v>
      </c>
      <c r="Z96" s="20">
        <f t="shared" si="22"/>
        <v>361.59865771812076</v>
      </c>
      <c r="AA96" s="20">
        <f t="shared" si="22"/>
        <v>226.0096153846154</v>
      </c>
      <c r="AB96" s="20">
        <f t="shared" si="22"/>
        <v>198.30246913580248</v>
      </c>
      <c r="AC96" s="20">
        <f t="shared" si="22"/>
        <v>187.69467213114754</v>
      </c>
      <c r="AD96" s="20">
        <f t="shared" si="22"/>
        <v>181.96428571428572</v>
      </c>
      <c r="AE96" s="58"/>
      <c r="AF96" s="38"/>
      <c r="AG96" s="38"/>
    </row>
    <row r="97" spans="1:33" s="18" customFormat="1" ht="12.75">
      <c r="A97" s="25"/>
      <c r="B97" s="24"/>
      <c r="C97" s="20"/>
      <c r="D97" s="38"/>
      <c r="E97" s="38"/>
      <c r="F97" s="38"/>
      <c r="G97" s="20"/>
      <c r="H97" s="38"/>
      <c r="I97" s="20"/>
      <c r="J97" s="38"/>
      <c r="K97" s="38"/>
      <c r="L97" s="20"/>
      <c r="M97" s="20"/>
      <c r="N97" s="38"/>
      <c r="O97" s="20"/>
      <c r="P97" s="38"/>
      <c r="Q97" s="38"/>
      <c r="R97" s="38"/>
      <c r="S97" s="20"/>
      <c r="T97" s="38"/>
      <c r="U97" s="20"/>
      <c r="V97" s="20"/>
      <c r="W97" s="38"/>
      <c r="X97" s="38"/>
      <c r="Y97" s="38"/>
      <c r="Z97" s="20"/>
      <c r="AA97" s="38"/>
      <c r="AB97" s="38"/>
      <c r="AC97" s="38"/>
      <c r="AD97" s="38"/>
      <c r="AE97" s="38"/>
      <c r="AF97" s="38"/>
      <c r="AG97" s="52"/>
    </row>
    <row r="98" spans="1:33" s="18" customFormat="1" ht="12.75">
      <c r="A98" s="10" t="s">
        <v>105</v>
      </c>
      <c r="B98" s="11"/>
      <c r="C98" s="26">
        <f aca="true" t="shared" si="23" ref="C98:AD98">C31-C83-C92</f>
        <v>-23025</v>
      </c>
      <c r="D98" s="39">
        <f t="shared" si="23"/>
        <v>18312</v>
      </c>
      <c r="E98" s="39">
        <f t="shared" si="23"/>
        <v>31857.5</v>
      </c>
      <c r="F98" s="39">
        <f t="shared" si="23"/>
        <v>4332.102500000001</v>
      </c>
      <c r="G98" s="26">
        <f t="shared" si="23"/>
        <v>419.5</v>
      </c>
      <c r="H98" s="39">
        <f t="shared" si="23"/>
        <v>1085</v>
      </c>
      <c r="I98" s="26">
        <f t="shared" si="23"/>
        <v>-6952</v>
      </c>
      <c r="J98" s="39">
        <f t="shared" si="23"/>
        <v>1000</v>
      </c>
      <c r="K98" s="39">
        <f>K31-K83-K92</f>
        <v>90</v>
      </c>
      <c r="L98" s="26">
        <f>L31-L83-L92</f>
        <v>-3000</v>
      </c>
      <c r="M98" s="26">
        <f t="shared" si="23"/>
        <v>-1940</v>
      </c>
      <c r="N98" s="39">
        <f t="shared" si="23"/>
        <v>-400</v>
      </c>
      <c r="O98" s="26">
        <f t="shared" si="23"/>
        <v>-15790</v>
      </c>
      <c r="P98" s="39">
        <f t="shared" si="23"/>
        <v>200.65000000000146</v>
      </c>
      <c r="Q98" s="39">
        <f t="shared" si="23"/>
        <v>2621.25</v>
      </c>
      <c r="R98" s="39">
        <f>R31-R83-R92</f>
        <v>16285</v>
      </c>
      <c r="S98" s="26">
        <f t="shared" si="23"/>
        <v>-5920</v>
      </c>
      <c r="T98" s="39">
        <f t="shared" si="23"/>
        <v>2400.5</v>
      </c>
      <c r="U98" s="26">
        <f t="shared" si="23"/>
        <v>-6897.5</v>
      </c>
      <c r="V98" s="26">
        <f t="shared" si="23"/>
        <v>-2900</v>
      </c>
      <c r="W98" s="39">
        <f t="shared" si="23"/>
        <v>6.900000000001455</v>
      </c>
      <c r="X98" s="39">
        <f>X31-X83-X92</f>
        <v>1000</v>
      </c>
      <c r="Y98" s="39">
        <f t="shared" si="23"/>
        <v>190500</v>
      </c>
      <c r="Z98" s="26">
        <f t="shared" si="23"/>
        <v>-13718.199999999997</v>
      </c>
      <c r="AA98" s="39">
        <f t="shared" si="23"/>
        <v>657.5</v>
      </c>
      <c r="AB98" s="39">
        <f t="shared" si="23"/>
        <v>3042.5</v>
      </c>
      <c r="AC98" s="39">
        <f t="shared" si="23"/>
        <v>-383.75</v>
      </c>
      <c r="AD98" s="39">
        <f t="shared" si="23"/>
        <v>25</v>
      </c>
      <c r="AE98" s="39">
        <f>AE31-AE83-AE92</f>
        <v>192908.95250000013</v>
      </c>
      <c r="AF98" s="54">
        <f>AF31-AF94</f>
        <v>-118866.63250000007</v>
      </c>
      <c r="AG98" s="39">
        <f>AE98+AF98</f>
        <v>74042.32000000007</v>
      </c>
    </row>
    <row r="99" spans="1:33" s="18" customFormat="1" ht="12.75">
      <c r="A99" s="27"/>
      <c r="B99" s="11"/>
      <c r="C99" s="26"/>
      <c r="D99" s="39"/>
      <c r="E99" s="39"/>
      <c r="F99" s="39"/>
      <c r="G99" s="26"/>
      <c r="H99" s="39"/>
      <c r="I99" s="26"/>
      <c r="J99" s="39"/>
      <c r="K99" s="39"/>
      <c r="L99" s="26"/>
      <c r="M99" s="26"/>
      <c r="N99" s="39"/>
      <c r="O99" s="26"/>
      <c r="P99" s="39"/>
      <c r="Q99" s="39"/>
      <c r="R99" s="39"/>
      <c r="S99" s="26"/>
      <c r="T99" s="39"/>
      <c r="U99" s="26"/>
      <c r="V99" s="26"/>
      <c r="W99" s="39"/>
      <c r="X99" s="39"/>
      <c r="Y99" s="39"/>
      <c r="Z99" s="26"/>
      <c r="AA99" s="39"/>
      <c r="AB99" s="39"/>
      <c r="AC99" s="39"/>
      <c r="AD99" s="39"/>
      <c r="AE99" s="39">
        <f>SUM(C98:AD98)</f>
        <v>192908.9525</v>
      </c>
      <c r="AF99" s="54"/>
      <c r="AG99" s="39"/>
    </row>
    <row r="100" spans="1:33" s="18" customFormat="1" ht="12.75">
      <c r="A100" s="10" t="s">
        <v>117</v>
      </c>
      <c r="B100" s="11"/>
      <c r="C100" s="59">
        <f>SUM(C101:C102)</f>
        <v>0</v>
      </c>
      <c r="D100" s="42">
        <f aca="true" t="shared" si="24" ref="D100:AD100">SUM(D101:D102)</f>
        <v>0</v>
      </c>
      <c r="E100" s="42">
        <f>E1002</f>
        <v>0</v>
      </c>
      <c r="F100" s="42">
        <f t="shared" si="24"/>
        <v>0</v>
      </c>
      <c r="G100" s="59">
        <f t="shared" si="24"/>
        <v>1650</v>
      </c>
      <c r="H100" s="42">
        <f t="shared" si="24"/>
        <v>800</v>
      </c>
      <c r="I100" s="59">
        <f t="shared" si="24"/>
        <v>0</v>
      </c>
      <c r="J100" s="42">
        <f t="shared" si="24"/>
        <v>0</v>
      </c>
      <c r="K100" s="42">
        <f>SUM(K101:K102)</f>
        <v>1000</v>
      </c>
      <c r="L100" s="59">
        <f>SUM(L101:L102)</f>
        <v>0</v>
      </c>
      <c r="M100" s="59">
        <f t="shared" si="24"/>
        <v>0</v>
      </c>
      <c r="N100" s="42">
        <f t="shared" si="24"/>
        <v>800</v>
      </c>
      <c r="O100" s="59">
        <f t="shared" si="24"/>
        <v>0</v>
      </c>
      <c r="P100" s="42">
        <f t="shared" si="24"/>
        <v>0</v>
      </c>
      <c r="Q100" s="42">
        <f t="shared" si="24"/>
        <v>0</v>
      </c>
      <c r="R100" s="42">
        <f>SUM(R101:R102)</f>
        <v>0</v>
      </c>
      <c r="S100" s="59">
        <f t="shared" si="24"/>
        <v>0</v>
      </c>
      <c r="T100" s="42">
        <f t="shared" si="24"/>
        <v>0</v>
      </c>
      <c r="U100" s="59">
        <f t="shared" si="24"/>
        <v>5668</v>
      </c>
      <c r="V100" s="59">
        <f t="shared" si="24"/>
        <v>0</v>
      </c>
      <c r="W100" s="42">
        <f t="shared" si="24"/>
        <v>0</v>
      </c>
      <c r="X100" s="42">
        <f>SUM(X101:X102)</f>
        <v>0</v>
      </c>
      <c r="Y100" s="42">
        <f t="shared" si="24"/>
        <v>0</v>
      </c>
      <c r="Z100" s="59">
        <f t="shared" si="24"/>
        <v>0</v>
      </c>
      <c r="AA100" s="42">
        <f t="shared" si="24"/>
        <v>0</v>
      </c>
      <c r="AB100" s="42">
        <f t="shared" si="24"/>
        <v>0</v>
      </c>
      <c r="AC100" s="42">
        <f t="shared" si="24"/>
        <v>800</v>
      </c>
      <c r="AD100" s="42">
        <f t="shared" si="24"/>
        <v>0</v>
      </c>
      <c r="AE100" s="38">
        <f>SUM(C100:AD100)</f>
        <v>10718</v>
      </c>
      <c r="AF100" s="54">
        <f>SUM(AF101:AF102)</f>
        <v>-10718</v>
      </c>
      <c r="AG100" s="39">
        <f>AE100+AF100</f>
        <v>0</v>
      </c>
    </row>
    <row r="101" spans="1:33" s="18" customFormat="1" ht="12.75">
      <c r="A101" s="27" t="s">
        <v>109</v>
      </c>
      <c r="B101" s="11"/>
      <c r="C101" s="50">
        <v>0</v>
      </c>
      <c r="D101" s="40">
        <v>0</v>
      </c>
      <c r="E101" s="40">
        <v>0</v>
      </c>
      <c r="F101" s="40">
        <v>0</v>
      </c>
      <c r="G101" s="50">
        <v>1650</v>
      </c>
      <c r="H101" s="40">
        <v>800</v>
      </c>
      <c r="I101" s="50">
        <v>0</v>
      </c>
      <c r="J101" s="40">
        <v>0</v>
      </c>
      <c r="K101" s="40">
        <v>1000</v>
      </c>
      <c r="L101" s="50">
        <v>0</v>
      </c>
      <c r="M101" s="50">
        <v>0</v>
      </c>
      <c r="N101" s="40">
        <v>800</v>
      </c>
      <c r="O101" s="50">
        <v>0</v>
      </c>
      <c r="P101" s="40">
        <v>0</v>
      </c>
      <c r="Q101" s="40">
        <v>0</v>
      </c>
      <c r="R101" s="40">
        <v>0</v>
      </c>
      <c r="S101" s="50">
        <v>0</v>
      </c>
      <c r="T101" s="40">
        <v>0</v>
      </c>
      <c r="U101" s="50">
        <v>5668</v>
      </c>
      <c r="V101" s="50">
        <v>0</v>
      </c>
      <c r="W101" s="40">
        <v>0</v>
      </c>
      <c r="X101" s="40">
        <v>0</v>
      </c>
      <c r="Y101" s="40">
        <v>0</v>
      </c>
      <c r="Z101" s="50">
        <v>0</v>
      </c>
      <c r="AA101" s="40">
        <v>0</v>
      </c>
      <c r="AB101" s="40">
        <v>0</v>
      </c>
      <c r="AC101" s="40">
        <v>800</v>
      </c>
      <c r="AD101" s="40">
        <v>0</v>
      </c>
      <c r="AE101" s="40">
        <f>SUM(C101:AD101)</f>
        <v>10718</v>
      </c>
      <c r="AF101" s="54">
        <f>-AE101</f>
        <v>-10718</v>
      </c>
      <c r="AG101" s="39">
        <f>AE101+AF101</f>
        <v>0</v>
      </c>
    </row>
    <row r="102" spans="1:33" s="18" customFormat="1" ht="12.75">
      <c r="A102" s="27" t="s">
        <v>116</v>
      </c>
      <c r="B102" s="11"/>
      <c r="C102" s="50">
        <v>0</v>
      </c>
      <c r="D102" s="40">
        <v>0</v>
      </c>
      <c r="E102" s="40">
        <v>0</v>
      </c>
      <c r="F102" s="40">
        <v>0</v>
      </c>
      <c r="G102" s="50">
        <v>0</v>
      </c>
      <c r="H102" s="40">
        <v>0</v>
      </c>
      <c r="I102" s="50">
        <v>0</v>
      </c>
      <c r="J102" s="40">
        <v>0</v>
      </c>
      <c r="K102" s="40">
        <v>0</v>
      </c>
      <c r="L102" s="50">
        <v>0</v>
      </c>
      <c r="M102" s="50">
        <v>0</v>
      </c>
      <c r="N102" s="40" t="s">
        <v>38</v>
      </c>
      <c r="O102" s="50">
        <v>0</v>
      </c>
      <c r="P102" s="40">
        <v>0</v>
      </c>
      <c r="Q102" s="40">
        <v>0</v>
      </c>
      <c r="R102" s="40">
        <v>0</v>
      </c>
      <c r="S102" s="50">
        <v>0</v>
      </c>
      <c r="T102" s="40">
        <v>0</v>
      </c>
      <c r="U102" s="50">
        <v>0</v>
      </c>
      <c r="V102" s="50">
        <v>0</v>
      </c>
      <c r="W102" s="40">
        <v>0</v>
      </c>
      <c r="X102" s="40">
        <v>0</v>
      </c>
      <c r="Y102" s="40">
        <v>0</v>
      </c>
      <c r="Z102" s="5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f>SUM(C102:AD102)</f>
        <v>0</v>
      </c>
      <c r="AF102" s="54">
        <f>-AE102</f>
        <v>0</v>
      </c>
      <c r="AG102" s="39">
        <f>AE102+AF102</f>
        <v>0</v>
      </c>
    </row>
    <row r="103" spans="1:33" s="18" customFormat="1" ht="12.75">
      <c r="A103" s="27"/>
      <c r="B103" s="11"/>
      <c r="C103" s="26"/>
      <c r="D103" s="39"/>
      <c r="E103" s="39"/>
      <c r="F103" s="39"/>
      <c r="G103" s="26"/>
      <c r="H103" s="39"/>
      <c r="I103" s="26"/>
      <c r="J103" s="39"/>
      <c r="K103" s="39"/>
      <c r="L103" s="26"/>
      <c r="M103" s="26"/>
      <c r="N103" s="39"/>
      <c r="O103" s="26"/>
      <c r="P103" s="39"/>
      <c r="Q103" s="39"/>
      <c r="R103" s="39"/>
      <c r="S103" s="26"/>
      <c r="T103" s="39"/>
      <c r="U103" s="26"/>
      <c r="V103" s="26"/>
      <c r="W103" s="39"/>
      <c r="X103" s="39"/>
      <c r="Y103" s="39"/>
      <c r="Z103" s="26"/>
      <c r="AA103" s="39"/>
      <c r="AB103" s="39"/>
      <c r="AC103" s="39"/>
      <c r="AD103" s="39"/>
      <c r="AE103" s="39"/>
      <c r="AF103" s="54"/>
      <c r="AG103" s="39"/>
    </row>
    <row r="104" spans="1:33" s="18" customFormat="1" ht="12.75">
      <c r="A104" s="10" t="s">
        <v>118</v>
      </c>
      <c r="B104" s="11"/>
      <c r="C104" s="59">
        <f>SUM(C105:C107)</f>
        <v>15000</v>
      </c>
      <c r="D104" s="42">
        <f aca="true" t="shared" si="25" ref="D104:AF104">SUM(D105:D107)</f>
        <v>0</v>
      </c>
      <c r="E104" s="42">
        <f t="shared" si="25"/>
        <v>2300</v>
      </c>
      <c r="F104" s="42">
        <f t="shared" si="25"/>
        <v>3000</v>
      </c>
      <c r="G104" s="59">
        <f t="shared" si="25"/>
        <v>2290</v>
      </c>
      <c r="H104" s="42">
        <f t="shared" si="25"/>
        <v>0</v>
      </c>
      <c r="I104" s="59">
        <f t="shared" si="25"/>
        <v>700</v>
      </c>
      <c r="J104" s="42">
        <f t="shared" si="25"/>
        <v>0</v>
      </c>
      <c r="K104" s="42">
        <f>SUM(K105:K107)</f>
        <v>1000</v>
      </c>
      <c r="L104" s="59">
        <f>SUM(L105:L107)</f>
        <v>1000</v>
      </c>
      <c r="M104" s="59">
        <f t="shared" si="25"/>
        <v>500</v>
      </c>
      <c r="N104" s="42">
        <f t="shared" si="25"/>
        <v>400</v>
      </c>
      <c r="O104" s="59">
        <f t="shared" si="25"/>
        <v>5500</v>
      </c>
      <c r="P104" s="42">
        <f t="shared" si="25"/>
        <v>200</v>
      </c>
      <c r="Q104" s="42">
        <f t="shared" si="25"/>
        <v>2500</v>
      </c>
      <c r="R104" s="42">
        <f>SUM(R105:R107)</f>
        <v>3000</v>
      </c>
      <c r="S104" s="59">
        <f t="shared" si="25"/>
        <v>2000</v>
      </c>
      <c r="T104" s="42">
        <f t="shared" si="25"/>
        <v>2400</v>
      </c>
      <c r="U104" s="59">
        <f t="shared" si="25"/>
        <v>0</v>
      </c>
      <c r="V104" s="59">
        <f t="shared" si="25"/>
        <v>1100</v>
      </c>
      <c r="W104" s="42">
        <f t="shared" si="25"/>
        <v>0</v>
      </c>
      <c r="X104" s="42">
        <f>SUM(X105:X107)</f>
        <v>1000</v>
      </c>
      <c r="Y104" s="42">
        <f t="shared" si="25"/>
        <v>12000</v>
      </c>
      <c r="Z104" s="59">
        <f t="shared" si="25"/>
        <v>0</v>
      </c>
      <c r="AA104" s="42">
        <f t="shared" si="25"/>
        <v>0</v>
      </c>
      <c r="AB104" s="42">
        <f t="shared" si="25"/>
        <v>3000</v>
      </c>
      <c r="AC104" s="42">
        <f t="shared" si="25"/>
        <v>350</v>
      </c>
      <c r="AD104" s="42">
        <f t="shared" si="25"/>
        <v>0</v>
      </c>
      <c r="AE104" s="39">
        <f>SUM(AE105:AE107)</f>
        <v>59240</v>
      </c>
      <c r="AF104" s="39">
        <f t="shared" si="25"/>
        <v>0</v>
      </c>
      <c r="AG104" s="39">
        <f>SUM(AG105:AG107)</f>
        <v>59240</v>
      </c>
    </row>
    <row r="105" spans="1:33" ht="12.75">
      <c r="A105" s="14" t="s">
        <v>110</v>
      </c>
      <c r="B105" s="15"/>
      <c r="C105" s="31">
        <v>0</v>
      </c>
      <c r="D105" s="36">
        <v>0</v>
      </c>
      <c r="E105" s="36">
        <v>300</v>
      </c>
      <c r="F105" s="36">
        <v>0</v>
      </c>
      <c r="G105" s="31">
        <v>230</v>
      </c>
      <c r="H105" s="36">
        <v>0</v>
      </c>
      <c r="I105" s="31">
        <v>0</v>
      </c>
      <c r="J105" s="36">
        <v>0</v>
      </c>
      <c r="K105" s="36">
        <v>0</v>
      </c>
      <c r="L105" s="31">
        <v>0</v>
      </c>
      <c r="M105" s="31">
        <v>0</v>
      </c>
      <c r="N105" s="36">
        <v>0</v>
      </c>
      <c r="O105" s="31">
        <v>1000</v>
      </c>
      <c r="P105" s="36">
        <v>0</v>
      </c>
      <c r="Q105" s="36">
        <v>500</v>
      </c>
      <c r="R105" s="36">
        <v>0</v>
      </c>
      <c r="S105" s="31">
        <v>0</v>
      </c>
      <c r="T105" s="36">
        <v>0</v>
      </c>
      <c r="U105" s="31">
        <v>0</v>
      </c>
      <c r="V105" s="31">
        <v>500</v>
      </c>
      <c r="W105" s="36">
        <v>0</v>
      </c>
      <c r="X105" s="36">
        <v>0</v>
      </c>
      <c r="Y105" s="36">
        <v>2000</v>
      </c>
      <c r="Z105" s="31">
        <v>0</v>
      </c>
      <c r="AA105" s="36">
        <v>0</v>
      </c>
      <c r="AB105" s="36">
        <v>0</v>
      </c>
      <c r="AC105" s="36">
        <v>0</v>
      </c>
      <c r="AD105" s="36">
        <v>0</v>
      </c>
      <c r="AE105" s="42">
        <f>SUM(C105:AD105)</f>
        <v>4530</v>
      </c>
      <c r="AF105" s="36">
        <v>0</v>
      </c>
      <c r="AG105" s="42">
        <f>AE105+AF105</f>
        <v>4530</v>
      </c>
    </row>
    <row r="106" spans="1:33" ht="25.5">
      <c r="A106" s="14" t="s">
        <v>111</v>
      </c>
      <c r="B106" s="15"/>
      <c r="C106" s="31">
        <v>15000</v>
      </c>
      <c r="D106" s="36">
        <v>0</v>
      </c>
      <c r="E106" s="36">
        <v>0</v>
      </c>
      <c r="F106" s="36">
        <v>3000</v>
      </c>
      <c r="G106" s="31">
        <v>2060</v>
      </c>
      <c r="H106" s="36">
        <v>0</v>
      </c>
      <c r="I106" s="31">
        <v>700</v>
      </c>
      <c r="J106" s="36">
        <v>0</v>
      </c>
      <c r="K106" s="36">
        <v>1000</v>
      </c>
      <c r="L106" s="31">
        <v>1000</v>
      </c>
      <c r="M106" s="31">
        <v>400</v>
      </c>
      <c r="N106" s="36">
        <v>400</v>
      </c>
      <c r="O106" s="31">
        <v>2000</v>
      </c>
      <c r="P106" s="36">
        <v>200</v>
      </c>
      <c r="Q106" s="36">
        <v>2000</v>
      </c>
      <c r="R106" s="36">
        <v>3000</v>
      </c>
      <c r="S106" s="31">
        <v>2000</v>
      </c>
      <c r="T106" s="36">
        <v>2400</v>
      </c>
      <c r="U106" s="31">
        <v>0</v>
      </c>
      <c r="V106" s="31">
        <v>600</v>
      </c>
      <c r="W106" s="36">
        <v>0</v>
      </c>
      <c r="X106" s="36">
        <v>1000</v>
      </c>
      <c r="Y106" s="36">
        <v>5000</v>
      </c>
      <c r="Z106" s="31">
        <v>0</v>
      </c>
      <c r="AA106" s="36">
        <v>0</v>
      </c>
      <c r="AB106" s="36">
        <v>1000</v>
      </c>
      <c r="AC106" s="36">
        <v>350</v>
      </c>
      <c r="AD106" s="36">
        <v>0</v>
      </c>
      <c r="AE106" s="42">
        <f>SUM(C106:AD106)</f>
        <v>43110</v>
      </c>
      <c r="AF106" s="36">
        <v>0</v>
      </c>
      <c r="AG106" s="42">
        <f>AE106+AF106</f>
        <v>43110</v>
      </c>
    </row>
    <row r="107" spans="1:33" ht="12.75">
      <c r="A107" s="14" t="s">
        <v>112</v>
      </c>
      <c r="B107" s="15"/>
      <c r="C107" s="31">
        <v>0</v>
      </c>
      <c r="D107" s="36">
        <v>0</v>
      </c>
      <c r="E107" s="36">
        <v>2000</v>
      </c>
      <c r="F107" s="36">
        <v>0</v>
      </c>
      <c r="G107" s="31">
        <v>0</v>
      </c>
      <c r="H107" s="36">
        <v>0</v>
      </c>
      <c r="I107" s="31">
        <v>0</v>
      </c>
      <c r="J107" s="36">
        <v>0</v>
      </c>
      <c r="K107" s="36">
        <v>0</v>
      </c>
      <c r="L107" s="31">
        <v>0</v>
      </c>
      <c r="M107" s="31">
        <v>100</v>
      </c>
      <c r="N107" s="36">
        <v>0</v>
      </c>
      <c r="O107" s="31">
        <v>2500</v>
      </c>
      <c r="P107" s="36">
        <v>0</v>
      </c>
      <c r="Q107" s="36">
        <v>0</v>
      </c>
      <c r="R107" s="36">
        <v>0</v>
      </c>
      <c r="S107" s="31">
        <v>0</v>
      </c>
      <c r="T107" s="36">
        <v>0</v>
      </c>
      <c r="U107" s="31">
        <v>0</v>
      </c>
      <c r="V107" s="31">
        <v>0</v>
      </c>
      <c r="W107" s="36">
        <v>0</v>
      </c>
      <c r="X107" s="36">
        <v>0</v>
      </c>
      <c r="Y107" s="36">
        <v>5000</v>
      </c>
      <c r="Z107" s="31">
        <v>0</v>
      </c>
      <c r="AA107" s="36">
        <v>0</v>
      </c>
      <c r="AB107" s="36">
        <v>2000</v>
      </c>
      <c r="AC107" s="36">
        <v>0</v>
      </c>
      <c r="AD107" s="36">
        <v>0</v>
      </c>
      <c r="AE107" s="42">
        <f>SUM(C107:AD107)</f>
        <v>11600</v>
      </c>
      <c r="AF107" s="36">
        <v>0</v>
      </c>
      <c r="AG107" s="42">
        <f>AE107+AF107</f>
        <v>11600</v>
      </c>
    </row>
    <row r="108" spans="1:33" ht="12.75">
      <c r="A108" s="16"/>
      <c r="B108" s="17"/>
      <c r="C108" s="20"/>
      <c r="D108" s="38"/>
      <c r="E108" s="38"/>
      <c r="F108" s="38"/>
      <c r="G108" s="20"/>
      <c r="H108" s="38"/>
      <c r="I108" s="20"/>
      <c r="J108" s="38"/>
      <c r="K108" s="38"/>
      <c r="L108" s="20"/>
      <c r="M108" s="20"/>
      <c r="N108" s="38"/>
      <c r="O108" s="20"/>
      <c r="P108" s="38"/>
      <c r="Q108" s="38"/>
      <c r="R108" s="38"/>
      <c r="S108" s="20"/>
      <c r="T108" s="38"/>
      <c r="U108" s="20"/>
      <c r="V108" s="20"/>
      <c r="W108" s="38"/>
      <c r="X108" s="38"/>
      <c r="Y108" s="38"/>
      <c r="Z108" s="20"/>
      <c r="AA108" s="38"/>
      <c r="AB108" s="38"/>
      <c r="AC108" s="38"/>
      <c r="AD108" s="38"/>
      <c r="AE108" s="38"/>
      <c r="AF108" s="38"/>
      <c r="AG108" s="38"/>
    </row>
    <row r="109" spans="1:35" ht="12.75">
      <c r="A109" s="10" t="s">
        <v>123</v>
      </c>
      <c r="B109" s="19"/>
      <c r="C109" s="20">
        <f>C98+C100-C104</f>
        <v>-38025</v>
      </c>
      <c r="D109" s="20">
        <f aca="true" t="shared" si="26" ref="D109:AH109">D98+D100-D104</f>
        <v>18312</v>
      </c>
      <c r="E109" s="20">
        <f t="shared" si="26"/>
        <v>29557.5</v>
      </c>
      <c r="F109" s="20">
        <f t="shared" si="26"/>
        <v>1332.1025000000009</v>
      </c>
      <c r="G109" s="20">
        <f t="shared" si="26"/>
        <v>-220.5</v>
      </c>
      <c r="H109" s="20">
        <f t="shared" si="26"/>
        <v>1885</v>
      </c>
      <c r="I109" s="20">
        <f t="shared" si="26"/>
        <v>-7652</v>
      </c>
      <c r="J109" s="20">
        <f t="shared" si="26"/>
        <v>1000</v>
      </c>
      <c r="K109" s="20">
        <f>K98+K100-K104</f>
        <v>90</v>
      </c>
      <c r="L109" s="20">
        <f>L98+L100-L104</f>
        <v>-4000</v>
      </c>
      <c r="M109" s="20">
        <f t="shared" si="26"/>
        <v>-2440</v>
      </c>
      <c r="N109" s="20">
        <f t="shared" si="26"/>
        <v>0</v>
      </c>
      <c r="O109" s="20">
        <f t="shared" si="26"/>
        <v>-21290</v>
      </c>
      <c r="P109" s="20">
        <f t="shared" si="26"/>
        <v>0.6500000000014552</v>
      </c>
      <c r="Q109" s="20">
        <f t="shared" si="26"/>
        <v>121.25</v>
      </c>
      <c r="R109" s="20">
        <f>R98+R100-R104</f>
        <v>13285</v>
      </c>
      <c r="S109" s="20">
        <f t="shared" si="26"/>
        <v>-7920</v>
      </c>
      <c r="T109" s="20">
        <f t="shared" si="26"/>
        <v>0.5</v>
      </c>
      <c r="U109" s="20">
        <f t="shared" si="26"/>
        <v>-1229.5</v>
      </c>
      <c r="V109" s="20">
        <f t="shared" si="26"/>
        <v>-4000</v>
      </c>
      <c r="W109" s="20">
        <f t="shared" si="26"/>
        <v>6.900000000001455</v>
      </c>
      <c r="X109" s="20">
        <f>X98+X100-X104</f>
        <v>0</v>
      </c>
      <c r="Y109" s="20">
        <f t="shared" si="26"/>
        <v>178500</v>
      </c>
      <c r="Z109" s="20">
        <f t="shared" si="26"/>
        <v>-13718.199999999997</v>
      </c>
      <c r="AA109" s="20">
        <f t="shared" si="26"/>
        <v>657.5</v>
      </c>
      <c r="AB109" s="20">
        <f t="shared" si="26"/>
        <v>42.5</v>
      </c>
      <c r="AC109" s="20">
        <f>AC98+AC100-AC104</f>
        <v>66.25</v>
      </c>
      <c r="AD109" s="20">
        <f t="shared" si="26"/>
        <v>25</v>
      </c>
      <c r="AE109" s="38">
        <f>AE98+AE100-AE104</f>
        <v>144386.95250000013</v>
      </c>
      <c r="AF109" s="38">
        <f t="shared" si="26"/>
        <v>-129584.63250000007</v>
      </c>
      <c r="AG109" s="55">
        <f>AG98+AG100-AG104</f>
        <v>14802.320000000065</v>
      </c>
      <c r="AH109" s="20">
        <f t="shared" si="26"/>
        <v>0</v>
      </c>
      <c r="AI109" s="18" t="s">
        <v>127</v>
      </c>
    </row>
    <row r="110" spans="1:35" ht="12.75">
      <c r="A110" s="16"/>
      <c r="B110" s="17"/>
      <c r="C110" s="20"/>
      <c r="D110" s="38"/>
      <c r="E110" s="38"/>
      <c r="F110" s="38"/>
      <c r="G110" s="20"/>
      <c r="H110" s="38"/>
      <c r="I110" s="20"/>
      <c r="J110" s="38"/>
      <c r="K110" s="38"/>
      <c r="L110" s="20"/>
      <c r="M110" s="20"/>
      <c r="N110" s="38"/>
      <c r="O110" s="20"/>
      <c r="P110" s="38"/>
      <c r="Q110" s="38"/>
      <c r="R110" s="38"/>
      <c r="S110" s="20"/>
      <c r="T110" s="38"/>
      <c r="U110" s="20"/>
      <c r="V110" s="20"/>
      <c r="W110" s="38"/>
      <c r="X110" s="38"/>
      <c r="Y110" s="38"/>
      <c r="Z110" s="20"/>
      <c r="AA110" s="38"/>
      <c r="AB110" s="38"/>
      <c r="AC110" s="38"/>
      <c r="AD110" s="38"/>
      <c r="AE110" s="39">
        <f>SUM(C109:AD109)</f>
        <v>144386.9525</v>
      </c>
      <c r="AF110" s="38"/>
      <c r="AG110" s="38">
        <f>AE109+AF109</f>
        <v>14802.320000000065</v>
      </c>
      <c r="AI110" s="21" t="s">
        <v>128</v>
      </c>
    </row>
    <row r="111" spans="1:33" ht="12.75">
      <c r="A111" s="16"/>
      <c r="B111" s="17"/>
      <c r="C111" s="20"/>
      <c r="D111" s="38"/>
      <c r="E111" s="38"/>
      <c r="F111" s="38"/>
      <c r="G111" s="20"/>
      <c r="H111" s="38"/>
      <c r="I111" s="20"/>
      <c r="J111" s="38"/>
      <c r="K111" s="38"/>
      <c r="L111" s="20"/>
      <c r="M111" s="20"/>
      <c r="N111" s="38"/>
      <c r="O111" s="20"/>
      <c r="P111" s="38"/>
      <c r="Q111" s="38"/>
      <c r="R111" s="38"/>
      <c r="S111" s="20"/>
      <c r="T111" s="38"/>
      <c r="U111" s="20"/>
      <c r="V111" s="20"/>
      <c r="W111" s="38"/>
      <c r="X111" s="38"/>
      <c r="Y111" s="38"/>
      <c r="Z111" s="20"/>
      <c r="AA111" s="38"/>
      <c r="AB111" s="38"/>
      <c r="AC111" s="38"/>
      <c r="AD111" s="38"/>
      <c r="AE111" s="38"/>
      <c r="AF111" s="38"/>
      <c r="AG111" s="38"/>
    </row>
    <row r="112" spans="1:33" ht="12.75">
      <c r="A112" s="12"/>
      <c r="B112" s="13"/>
      <c r="C112" s="45"/>
      <c r="D112" s="35"/>
      <c r="E112" s="35"/>
      <c r="F112" s="35"/>
      <c r="G112" s="45"/>
      <c r="H112" s="35"/>
      <c r="I112" s="45"/>
      <c r="J112" s="35"/>
      <c r="K112" s="35"/>
      <c r="L112" s="45"/>
      <c r="M112" s="45"/>
      <c r="N112" s="35"/>
      <c r="O112" s="45"/>
      <c r="P112" s="35"/>
      <c r="Q112" s="35"/>
      <c r="R112" s="35"/>
      <c r="S112" s="45"/>
      <c r="T112" s="35"/>
      <c r="U112" s="45"/>
      <c r="V112" s="45"/>
      <c r="W112" s="35"/>
      <c r="X112" s="35"/>
      <c r="Y112" s="35"/>
      <c r="Z112" s="45"/>
      <c r="AA112" s="35"/>
      <c r="AB112" s="35"/>
      <c r="AC112" s="35"/>
      <c r="AD112" s="35"/>
      <c r="AE112" s="36" t="s">
        <v>38</v>
      </c>
      <c r="AF112" s="35"/>
      <c r="AG112" s="36"/>
    </row>
    <row r="113" spans="1:35" ht="12.75">
      <c r="A113" s="19" t="s">
        <v>107</v>
      </c>
      <c r="B113" s="17"/>
      <c r="C113" s="31">
        <f>SUM(C114:C116)</f>
        <v>54731.64</v>
      </c>
      <c r="D113" s="36">
        <f aca="true" t="shared" si="27" ref="D113:AF113">SUM(D114:D116)</f>
        <v>252052.9756032</v>
      </c>
      <c r="E113" s="36">
        <f t="shared" si="27"/>
        <v>355678.4</v>
      </c>
      <c r="F113" s="36">
        <f t="shared" si="27"/>
        <v>62640.98</v>
      </c>
      <c r="G113" s="31">
        <f t="shared" si="27"/>
        <v>13982.23</v>
      </c>
      <c r="H113" s="36">
        <f t="shared" si="27"/>
        <v>24727.65</v>
      </c>
      <c r="I113" s="31">
        <f t="shared" si="27"/>
        <v>44009.75</v>
      </c>
      <c r="J113" s="36">
        <f t="shared" si="27"/>
        <v>43040.84</v>
      </c>
      <c r="K113" s="36">
        <f>SUM(K114:K116)</f>
        <v>26008.579999999998</v>
      </c>
      <c r="L113" s="31">
        <f>SUM(L114:L116)</f>
        <v>37111.729999999996</v>
      </c>
      <c r="M113" s="31">
        <f t="shared" si="27"/>
        <v>20444.07</v>
      </c>
      <c r="N113" s="36">
        <f t="shared" si="27"/>
        <v>19462.52</v>
      </c>
      <c r="O113" s="31">
        <f t="shared" si="27"/>
        <v>82013.98999999999</v>
      </c>
      <c r="P113" s="36">
        <f t="shared" si="27"/>
        <v>24315.71</v>
      </c>
      <c r="Q113" s="36">
        <f t="shared" si="27"/>
        <v>47454.31</v>
      </c>
      <c r="R113" s="36">
        <f>SUM(R114:R116)</f>
        <v>324274.63</v>
      </c>
      <c r="S113" s="31">
        <f t="shared" si="27"/>
        <v>25975.11</v>
      </c>
      <c r="T113" s="36">
        <f t="shared" si="27"/>
        <v>72535.57999999999</v>
      </c>
      <c r="U113" s="31">
        <f t="shared" si="27"/>
        <v>17743.870000000003</v>
      </c>
      <c r="V113" s="31">
        <f t="shared" si="27"/>
        <v>51097.4</v>
      </c>
      <c r="W113" s="36">
        <f t="shared" si="27"/>
        <v>41252.03</v>
      </c>
      <c r="X113" s="36">
        <f>SUM(X114:X116)</f>
        <v>85695.39</v>
      </c>
      <c r="Y113" s="36">
        <f t="shared" si="27"/>
        <v>1281536.5543333</v>
      </c>
      <c r="Z113" s="31">
        <f t="shared" si="27"/>
        <v>63309.17</v>
      </c>
      <c r="AA113" s="36">
        <f t="shared" si="27"/>
        <v>13289.1</v>
      </c>
      <c r="AB113" s="36">
        <f t="shared" si="27"/>
        <v>73601.51999999999</v>
      </c>
      <c r="AC113" s="36">
        <f t="shared" si="27"/>
        <v>34046.59</v>
      </c>
      <c r="AD113" s="36">
        <f t="shared" si="27"/>
        <v>37602.76</v>
      </c>
      <c r="AE113" s="42">
        <f aca="true" t="shared" si="28" ref="AE113:AE122">SUM(C113:AD113)</f>
        <v>3229635.0799364997</v>
      </c>
      <c r="AF113" s="36">
        <f t="shared" si="27"/>
        <v>636774.7</v>
      </c>
      <c r="AG113" s="38">
        <f>SUM(AG114:AG116)</f>
        <v>3866409.7799365</v>
      </c>
      <c r="AI113" s="9"/>
    </row>
    <row r="114" spans="1:35" s="33" customFormat="1" ht="12.75">
      <c r="A114" s="41" t="s">
        <v>113</v>
      </c>
      <c r="B114" s="15">
        <v>501</v>
      </c>
      <c r="C114" s="31">
        <v>1445.74</v>
      </c>
      <c r="D114" s="36">
        <f>544.28+1511.11</f>
        <v>2055.39</v>
      </c>
      <c r="E114" s="36">
        <v>7145.81</v>
      </c>
      <c r="F114" s="36">
        <v>4.25</v>
      </c>
      <c r="G114" s="31">
        <v>19.1</v>
      </c>
      <c r="H114" s="36">
        <v>0</v>
      </c>
      <c r="I114" s="31">
        <v>2802.36</v>
      </c>
      <c r="J114" s="36">
        <v>139.99</v>
      </c>
      <c r="K114" s="36">
        <v>262.05</v>
      </c>
      <c r="L114" s="31">
        <v>27.45</v>
      </c>
      <c r="M114" s="31">
        <v>144.29</v>
      </c>
      <c r="N114" s="36">
        <v>79.65</v>
      </c>
      <c r="O114" s="31">
        <v>1416.37</v>
      </c>
      <c r="P114" s="36">
        <v>890.94</v>
      </c>
      <c r="Q114" s="36">
        <v>1259.02</v>
      </c>
      <c r="R114" s="36">
        <v>0</v>
      </c>
      <c r="S114" s="31">
        <v>14.93</v>
      </c>
      <c r="T114" s="36">
        <v>57.4</v>
      </c>
      <c r="U114" s="31">
        <v>30.13</v>
      </c>
      <c r="V114" s="31">
        <v>741.98</v>
      </c>
      <c r="W114" s="36">
        <v>0.02</v>
      </c>
      <c r="X114" s="36">
        <v>788.48</v>
      </c>
      <c r="Y114" s="36">
        <v>711.8</v>
      </c>
      <c r="Z114" s="31">
        <v>-24.79</v>
      </c>
      <c r="AA114" s="36">
        <v>0</v>
      </c>
      <c r="AB114" s="36">
        <v>594.26</v>
      </c>
      <c r="AC114" s="36">
        <v>675.31</v>
      </c>
      <c r="AD114" s="36">
        <v>421.53</v>
      </c>
      <c r="AE114" s="42">
        <f>SUM(C114:AD114)</f>
        <v>21703.46</v>
      </c>
      <c r="AF114" s="36">
        <v>185.17</v>
      </c>
      <c r="AG114" s="38">
        <f>AE114+AF114</f>
        <v>21888.629999999997</v>
      </c>
      <c r="AI114" s="9"/>
    </row>
    <row r="115" spans="1:35" s="33" customFormat="1" ht="12.75">
      <c r="A115" s="41" t="s">
        <v>115</v>
      </c>
      <c r="B115" s="15">
        <v>503</v>
      </c>
      <c r="C115" s="31">
        <v>53285.9</v>
      </c>
      <c r="D115" s="36">
        <f>103001.87+5191.94+1039.04*1.95583</f>
        <v>110225.9956032</v>
      </c>
      <c r="E115" s="36">
        <v>170736.59</v>
      </c>
      <c r="F115" s="36">
        <v>62636.73</v>
      </c>
      <c r="G115" s="31">
        <v>13963.13</v>
      </c>
      <c r="H115" s="36">
        <v>24727.65</v>
      </c>
      <c r="I115" s="31">
        <v>41207.39</v>
      </c>
      <c r="J115" s="36">
        <v>42900.85</v>
      </c>
      <c r="K115" s="36">
        <v>25746.53</v>
      </c>
      <c r="L115" s="31">
        <v>37084.28</v>
      </c>
      <c r="M115" s="31">
        <v>20299.78</v>
      </c>
      <c r="N115" s="36">
        <v>19382.87</v>
      </c>
      <c r="O115" s="31">
        <v>80597.62</v>
      </c>
      <c r="P115" s="36">
        <v>23424.77</v>
      </c>
      <c r="Q115" s="36">
        <v>46195.29</v>
      </c>
      <c r="R115" s="36">
        <v>195301.79</v>
      </c>
      <c r="S115" s="31">
        <v>25960.18</v>
      </c>
      <c r="T115" s="36">
        <v>72478.18</v>
      </c>
      <c r="U115" s="31">
        <v>17713.74</v>
      </c>
      <c r="V115" s="31">
        <v>50355.42</v>
      </c>
      <c r="W115" s="36">
        <v>41252.01</v>
      </c>
      <c r="X115" s="36">
        <v>60176.18</v>
      </c>
      <c r="Y115" s="36">
        <f>290006.98+442.51*1.95583</f>
        <v>290872.4543333</v>
      </c>
      <c r="Z115" s="31">
        <v>63333.96</v>
      </c>
      <c r="AA115" s="36">
        <v>13289.1</v>
      </c>
      <c r="AB115" s="36">
        <v>73007.26</v>
      </c>
      <c r="AC115" s="36">
        <v>33371.28</v>
      </c>
      <c r="AD115" s="36">
        <v>37181.23</v>
      </c>
      <c r="AE115" s="42">
        <f>SUM(C115:AD115)</f>
        <v>1746708.1599365002</v>
      </c>
      <c r="AF115" s="36">
        <v>413283.06</v>
      </c>
      <c r="AG115" s="38">
        <f>AE115+AF115</f>
        <v>2159991.2199365003</v>
      </c>
      <c r="AI115" s="9"/>
    </row>
    <row r="116" spans="1:35" s="33" customFormat="1" ht="12.75">
      <c r="A116" s="43" t="s">
        <v>114</v>
      </c>
      <c r="B116" s="46">
        <v>507</v>
      </c>
      <c r="C116" s="31">
        <v>0</v>
      </c>
      <c r="D116" s="36">
        <v>139771.59</v>
      </c>
      <c r="E116" s="36">
        <v>177796</v>
      </c>
      <c r="F116" s="36">
        <v>0</v>
      </c>
      <c r="G116" s="31">
        <v>0</v>
      </c>
      <c r="H116" s="36">
        <v>0</v>
      </c>
      <c r="I116" s="31">
        <v>0</v>
      </c>
      <c r="J116" s="36">
        <v>0</v>
      </c>
      <c r="K116" s="36">
        <v>0</v>
      </c>
      <c r="L116" s="31">
        <v>0</v>
      </c>
      <c r="M116" s="31">
        <v>0</v>
      </c>
      <c r="N116" s="36">
        <v>0</v>
      </c>
      <c r="O116" s="31">
        <v>0</v>
      </c>
      <c r="P116" s="36">
        <v>0</v>
      </c>
      <c r="Q116" s="36">
        <v>0</v>
      </c>
      <c r="R116" s="36">
        <v>128972.84</v>
      </c>
      <c r="S116" s="31">
        <v>0</v>
      </c>
      <c r="T116" s="36">
        <v>0</v>
      </c>
      <c r="U116" s="31">
        <v>0</v>
      </c>
      <c r="V116" s="31">
        <v>0</v>
      </c>
      <c r="W116" s="36">
        <v>0</v>
      </c>
      <c r="X116" s="36">
        <v>24730.73</v>
      </c>
      <c r="Y116" s="36">
        <v>989952.3</v>
      </c>
      <c r="Z116" s="31">
        <v>0</v>
      </c>
      <c r="AA116" s="36">
        <v>0</v>
      </c>
      <c r="AB116" s="36">
        <v>0</v>
      </c>
      <c r="AC116" s="36">
        <v>0</v>
      </c>
      <c r="AD116" s="36">
        <v>0</v>
      </c>
      <c r="AE116" s="42">
        <f t="shared" si="28"/>
        <v>1461223.46</v>
      </c>
      <c r="AF116" s="36">
        <v>223306.47</v>
      </c>
      <c r="AG116" s="35">
        <v>1684529.93</v>
      </c>
      <c r="AI116" s="9"/>
    </row>
    <row r="117" spans="1:33" ht="12.75">
      <c r="A117" s="12"/>
      <c r="B117" s="13"/>
      <c r="C117" s="45"/>
      <c r="D117" s="35"/>
      <c r="E117" s="35"/>
      <c r="F117" s="35"/>
      <c r="G117" s="45"/>
      <c r="H117" s="35"/>
      <c r="I117" s="45"/>
      <c r="J117" s="35"/>
      <c r="K117" s="35"/>
      <c r="L117" s="45"/>
      <c r="M117" s="45"/>
      <c r="N117" s="35"/>
      <c r="O117" s="45"/>
      <c r="P117" s="35"/>
      <c r="Q117" s="35"/>
      <c r="R117" s="36"/>
      <c r="S117" s="45"/>
      <c r="T117" s="36"/>
      <c r="U117" s="31"/>
      <c r="V117" s="31"/>
      <c r="W117" s="36"/>
      <c r="X117" s="36"/>
      <c r="Y117" s="36"/>
      <c r="Z117" s="31"/>
      <c r="AA117" s="36"/>
      <c r="AB117" s="36"/>
      <c r="AC117" s="36"/>
      <c r="AD117" s="36"/>
      <c r="AE117" s="36"/>
      <c r="AF117" s="35"/>
      <c r="AG117" s="35"/>
    </row>
    <row r="118" spans="1:33" ht="12.75" customHeight="1">
      <c r="A118" s="29" t="s">
        <v>108</v>
      </c>
      <c r="B118" s="30">
        <v>705</v>
      </c>
      <c r="C118" s="31">
        <f aca="true" t="shared" si="29" ref="C118:J118">C119</f>
        <v>46335</v>
      </c>
      <c r="D118" s="36">
        <f t="shared" si="29"/>
        <v>134370</v>
      </c>
      <c r="E118" s="36">
        <f t="shared" si="29"/>
        <v>141450</v>
      </c>
      <c r="F118" s="36">
        <f t="shared" si="29"/>
        <v>47045</v>
      </c>
      <c r="G118" s="31">
        <f t="shared" si="29"/>
        <v>13446</v>
      </c>
      <c r="H118" s="36">
        <f t="shared" si="29"/>
        <v>14580</v>
      </c>
      <c r="I118" s="31">
        <f t="shared" si="29"/>
        <v>17129</v>
      </c>
      <c r="J118" s="36">
        <f t="shared" si="29"/>
        <v>20850</v>
      </c>
      <c r="K118" s="36">
        <f aca="true" t="shared" si="30" ref="K118:AD118">K119</f>
        <v>19710</v>
      </c>
      <c r="L118" s="31">
        <f t="shared" si="30"/>
        <v>18180</v>
      </c>
      <c r="M118" s="31">
        <f t="shared" si="30"/>
        <v>17762</v>
      </c>
      <c r="N118" s="36">
        <f t="shared" si="30"/>
        <v>18115</v>
      </c>
      <c r="O118" s="31">
        <f t="shared" si="30"/>
        <v>38860</v>
      </c>
      <c r="P118" s="36">
        <f t="shared" si="30"/>
        <v>21410</v>
      </c>
      <c r="Q118" s="36">
        <f t="shared" si="30"/>
        <v>39705</v>
      </c>
      <c r="R118" s="36">
        <f t="shared" si="30"/>
        <v>158580</v>
      </c>
      <c r="S118" s="31">
        <f t="shared" si="30"/>
        <v>13855</v>
      </c>
      <c r="T118" s="36">
        <f t="shared" si="30"/>
        <v>44520</v>
      </c>
      <c r="U118" s="31">
        <f t="shared" si="30"/>
        <v>12020</v>
      </c>
      <c r="V118" s="31">
        <f t="shared" si="30"/>
        <v>25350</v>
      </c>
      <c r="W118" s="36">
        <f t="shared" si="30"/>
        <v>28230</v>
      </c>
      <c r="X118" s="36">
        <f t="shared" si="30"/>
        <v>68566</v>
      </c>
      <c r="Y118" s="36">
        <f t="shared" si="30"/>
        <v>807713</v>
      </c>
      <c r="Z118" s="31">
        <f t="shared" si="30"/>
        <v>17782</v>
      </c>
      <c r="AA118" s="36">
        <f t="shared" si="30"/>
        <v>9630</v>
      </c>
      <c r="AB118" s="36">
        <f t="shared" si="30"/>
        <v>43730</v>
      </c>
      <c r="AC118" s="36">
        <f t="shared" si="30"/>
        <v>14435</v>
      </c>
      <c r="AD118" s="36">
        <f t="shared" si="30"/>
        <v>24240</v>
      </c>
      <c r="AE118" s="42">
        <f t="shared" si="28"/>
        <v>1877598</v>
      </c>
      <c r="AF118" s="36"/>
      <c r="AG118" s="42">
        <f>1877598</f>
        <v>1877598</v>
      </c>
    </row>
    <row r="119" spans="1:33" s="33" customFormat="1" ht="12.75">
      <c r="A119" s="44" t="s">
        <v>106</v>
      </c>
      <c r="B119" s="24"/>
      <c r="C119" s="31">
        <v>46335</v>
      </c>
      <c r="D119" s="36">
        <v>134370</v>
      </c>
      <c r="E119" s="36">
        <v>141450</v>
      </c>
      <c r="F119" s="36">
        <v>47045</v>
      </c>
      <c r="G119" s="31">
        <v>13446</v>
      </c>
      <c r="H119" s="36">
        <v>14580</v>
      </c>
      <c r="I119" s="31">
        <v>17129</v>
      </c>
      <c r="J119" s="36">
        <v>20850</v>
      </c>
      <c r="K119" s="36">
        <v>19710</v>
      </c>
      <c r="L119" s="31">
        <v>18180</v>
      </c>
      <c r="M119" s="31">
        <v>17762</v>
      </c>
      <c r="N119" s="36">
        <v>18115</v>
      </c>
      <c r="O119" s="31">
        <v>38860</v>
      </c>
      <c r="P119" s="36">
        <v>21410</v>
      </c>
      <c r="Q119" s="36">
        <v>39705</v>
      </c>
      <c r="R119" s="36">
        <v>158580</v>
      </c>
      <c r="S119" s="31">
        <v>13855</v>
      </c>
      <c r="T119" s="36">
        <v>44520</v>
      </c>
      <c r="U119" s="31">
        <v>12020</v>
      </c>
      <c r="V119" s="31">
        <v>25350</v>
      </c>
      <c r="W119" s="36">
        <v>28230</v>
      </c>
      <c r="X119" s="36">
        <v>68566</v>
      </c>
      <c r="Y119" s="36">
        <v>807713</v>
      </c>
      <c r="Z119" s="31">
        <v>17782</v>
      </c>
      <c r="AA119" s="36">
        <v>9630</v>
      </c>
      <c r="AB119" s="36">
        <v>43730</v>
      </c>
      <c r="AC119" s="36">
        <v>14435</v>
      </c>
      <c r="AD119" s="36">
        <v>24240</v>
      </c>
      <c r="AE119" s="42">
        <f t="shared" si="28"/>
        <v>1877598</v>
      </c>
      <c r="AF119" s="35"/>
      <c r="AG119" s="35"/>
    </row>
    <row r="120" spans="1:33" s="33" customFormat="1" ht="12.75">
      <c r="A120" s="44"/>
      <c r="B120" s="24"/>
      <c r="C120" s="31">
        <v>54732</v>
      </c>
      <c r="D120" s="36">
        <v>0</v>
      </c>
      <c r="E120" s="36">
        <v>0</v>
      </c>
      <c r="F120" s="36">
        <v>0</v>
      </c>
      <c r="G120" s="31">
        <v>0</v>
      </c>
      <c r="H120" s="36">
        <v>0</v>
      </c>
      <c r="I120" s="31">
        <v>0</v>
      </c>
      <c r="J120" s="36">
        <v>0</v>
      </c>
      <c r="K120" s="36">
        <v>0</v>
      </c>
      <c r="L120" s="31">
        <v>0</v>
      </c>
      <c r="M120" s="31">
        <v>2440</v>
      </c>
      <c r="N120" s="36">
        <v>39727.87</v>
      </c>
      <c r="O120" s="31">
        <v>38117</v>
      </c>
      <c r="P120" s="36">
        <v>0</v>
      </c>
      <c r="Q120" s="36">
        <v>0</v>
      </c>
      <c r="R120" s="36">
        <v>0</v>
      </c>
      <c r="S120" s="31">
        <v>0</v>
      </c>
      <c r="T120" s="36">
        <v>0</v>
      </c>
      <c r="U120" s="31">
        <v>1117</v>
      </c>
      <c r="V120" s="31">
        <v>3700</v>
      </c>
      <c r="W120" s="36">
        <v>10721</v>
      </c>
      <c r="X120" s="36">
        <v>0</v>
      </c>
      <c r="Y120" s="36">
        <v>0</v>
      </c>
      <c r="Z120" s="31">
        <v>63334</v>
      </c>
      <c r="AA120" s="36">
        <v>9689</v>
      </c>
      <c r="AB120" s="36">
        <v>0</v>
      </c>
      <c r="AC120" s="36">
        <v>0</v>
      </c>
      <c r="AD120" s="36">
        <v>0</v>
      </c>
      <c r="AE120" s="42"/>
      <c r="AF120" s="35"/>
      <c r="AG120" s="35"/>
    </row>
    <row r="121" spans="1:33" ht="12.75">
      <c r="A121" s="25"/>
      <c r="B121" s="24"/>
      <c r="C121" s="45"/>
      <c r="D121" s="35"/>
      <c r="E121" s="35"/>
      <c r="F121" s="35"/>
      <c r="G121" s="45"/>
      <c r="H121" s="35"/>
      <c r="I121" s="45"/>
      <c r="J121" s="35"/>
      <c r="K121" s="35"/>
      <c r="L121" s="45"/>
      <c r="M121" s="45"/>
      <c r="N121" s="35"/>
      <c r="O121" s="45"/>
      <c r="P121" s="35"/>
      <c r="Q121" s="35"/>
      <c r="R121" s="36"/>
      <c r="S121" s="45"/>
      <c r="T121" s="36"/>
      <c r="U121" s="31"/>
      <c r="V121" s="31"/>
      <c r="W121" s="36"/>
      <c r="X121" s="36"/>
      <c r="Y121" s="36"/>
      <c r="Z121" s="31"/>
      <c r="AA121" s="36"/>
      <c r="AB121" s="36"/>
      <c r="AC121" s="36"/>
      <c r="AD121" s="36"/>
      <c r="AE121" s="36"/>
      <c r="AF121" s="35"/>
      <c r="AG121" s="35"/>
    </row>
    <row r="122" spans="1:35" ht="12.75">
      <c r="A122" s="19" t="s">
        <v>130</v>
      </c>
      <c r="B122" s="32">
        <v>117</v>
      </c>
      <c r="C122" s="50">
        <f aca="true" t="shared" si="31" ref="C122:X122">C113-C118</f>
        <v>8396.64</v>
      </c>
      <c r="D122" s="40">
        <f t="shared" si="31"/>
        <v>117682.9756032</v>
      </c>
      <c r="E122" s="40">
        <f t="shared" si="31"/>
        <v>214228.40000000002</v>
      </c>
      <c r="F122" s="40">
        <f t="shared" si="31"/>
        <v>15595.980000000003</v>
      </c>
      <c r="G122" s="50">
        <f t="shared" si="31"/>
        <v>536.2299999999996</v>
      </c>
      <c r="H122" s="40">
        <f t="shared" si="31"/>
        <v>10147.650000000001</v>
      </c>
      <c r="I122" s="50">
        <f t="shared" si="31"/>
        <v>26880.75</v>
      </c>
      <c r="J122" s="40">
        <f t="shared" si="31"/>
        <v>22190.839999999997</v>
      </c>
      <c r="K122" s="40">
        <f>K113-K118</f>
        <v>6298.579999999998</v>
      </c>
      <c r="L122" s="50">
        <f t="shared" si="31"/>
        <v>18931.729999999996</v>
      </c>
      <c r="M122" s="50">
        <f t="shared" si="31"/>
        <v>2682.0699999999997</v>
      </c>
      <c r="N122" s="40">
        <f t="shared" si="31"/>
        <v>1347.5200000000004</v>
      </c>
      <c r="O122" s="50">
        <f t="shared" si="31"/>
        <v>43153.98999999999</v>
      </c>
      <c r="P122" s="40">
        <f t="shared" si="31"/>
        <v>2905.709999999999</v>
      </c>
      <c r="Q122" s="40">
        <f t="shared" si="31"/>
        <v>7749.309999999998</v>
      </c>
      <c r="R122" s="40">
        <f t="shared" si="31"/>
        <v>165694.63</v>
      </c>
      <c r="S122" s="50">
        <f t="shared" si="31"/>
        <v>12120.11</v>
      </c>
      <c r="T122" s="65">
        <f t="shared" si="31"/>
        <v>28015.579999999987</v>
      </c>
      <c r="U122" s="50">
        <f t="shared" si="31"/>
        <v>5723.870000000003</v>
      </c>
      <c r="V122" s="50">
        <f t="shared" si="31"/>
        <v>25747.4</v>
      </c>
      <c r="W122" s="40">
        <f t="shared" si="31"/>
        <v>13022.029999999999</v>
      </c>
      <c r="X122" s="40">
        <f t="shared" si="31"/>
        <v>17129.39</v>
      </c>
      <c r="Y122" s="40">
        <f aca="true" t="shared" si="32" ref="Y122:AD122">Y113-Y118</f>
        <v>473823.5543333001</v>
      </c>
      <c r="Z122" s="50">
        <f t="shared" si="32"/>
        <v>45527.17</v>
      </c>
      <c r="AA122" s="40">
        <f t="shared" si="32"/>
        <v>3659.1000000000004</v>
      </c>
      <c r="AB122" s="40">
        <f t="shared" si="32"/>
        <v>29871.51999999999</v>
      </c>
      <c r="AC122" s="40">
        <f t="shared" si="32"/>
        <v>19611.589999999997</v>
      </c>
      <c r="AD122" s="40">
        <f t="shared" si="32"/>
        <v>13362.760000000002</v>
      </c>
      <c r="AE122" s="42">
        <f t="shared" si="28"/>
        <v>1352037.0799365002</v>
      </c>
      <c r="AF122" s="40"/>
      <c r="AG122" s="42">
        <v>1781634.97</v>
      </c>
      <c r="AI122" s="64"/>
    </row>
    <row r="123" spans="1:35" ht="12.75">
      <c r="A123" s="16"/>
      <c r="B123" s="17"/>
      <c r="C123" s="50"/>
      <c r="D123" s="40"/>
      <c r="E123" s="40"/>
      <c r="F123" s="40"/>
      <c r="G123" s="50"/>
      <c r="H123" s="40"/>
      <c r="I123" s="50"/>
      <c r="J123" s="40"/>
      <c r="K123" s="40"/>
      <c r="L123" s="50"/>
      <c r="M123" s="50"/>
      <c r="N123" s="40"/>
      <c r="O123" s="50"/>
      <c r="P123" s="40"/>
      <c r="Q123" s="40"/>
      <c r="R123" s="40"/>
      <c r="S123" s="50"/>
      <c r="T123" s="40"/>
      <c r="U123" s="50"/>
      <c r="V123" s="50"/>
      <c r="W123" s="40"/>
      <c r="X123" s="40"/>
      <c r="Y123" s="40"/>
      <c r="Z123" s="50"/>
      <c r="AA123" s="40"/>
      <c r="AB123" s="40"/>
      <c r="AC123" s="40"/>
      <c r="AD123" s="40"/>
      <c r="AE123" s="42"/>
      <c r="AF123" s="38"/>
      <c r="AG123" s="42"/>
      <c r="AI123" s="28"/>
    </row>
    <row r="124" ht="12.75">
      <c r="AG124" s="63"/>
    </row>
    <row r="126" spans="4:25" ht="12.75">
      <c r="D126" s="62"/>
      <c r="Y126" s="62"/>
    </row>
  </sheetData>
  <mergeCells count="2">
    <mergeCell ref="A35:A36"/>
    <mergeCell ref="A4:A5"/>
  </mergeCells>
  <printOptions horizontalCentered="1" verticalCentered="1"/>
  <pageMargins left="0.35433070866141736" right="0.35433070866141736" top="0.31496062992125984" bottom="0.31496062992125984" header="0.31496062992125984" footer="0.31496062992125984"/>
  <pageSetup fitToHeight="1" fitToWidth="1" horizontalDpi="600" verticalDpi="600" orientation="landscape" paperSize="8" scale="45" r:id="rId1"/>
  <headerFooter alignWithMargins="0">
    <oddHeader>&amp;RДата: &amp;D / &amp;T</oddHeader>
    <oddFooter>&amp;RИме файл: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7"/>
  <sheetViews>
    <sheetView tabSelected="1" workbookViewId="0" topLeftCell="A103">
      <selection activeCell="G124" sqref="G124"/>
    </sheetView>
  </sheetViews>
  <sheetFormatPr defaultColWidth="9.140625" defaultRowHeight="12.75"/>
  <cols>
    <col min="1" max="1" width="60.140625" style="68" customWidth="1"/>
    <col min="2" max="2" width="11.00390625" style="68" customWidth="1"/>
    <col min="3" max="3" width="11.57421875" style="67" customWidth="1"/>
    <col min="4" max="4" width="11.7109375" style="68" customWidth="1"/>
    <col min="5" max="16384" width="9.140625" style="68" customWidth="1"/>
  </cols>
  <sheetData>
    <row r="1" spans="1:2" ht="15">
      <c r="A1" s="66"/>
      <c r="B1" s="66"/>
    </row>
    <row r="3" spans="1:4" ht="72.75" customHeight="1">
      <c r="A3" s="69"/>
      <c r="B3" s="70" t="s">
        <v>1</v>
      </c>
      <c r="C3" s="71" t="str">
        <f>'[1]budget 2009-03-24 (new format)'!X3</f>
        <v>Стара Загора</v>
      </c>
      <c r="D3" s="98" t="s">
        <v>132</v>
      </c>
    </row>
    <row r="4" spans="1:4" ht="15.75">
      <c r="A4" s="108" t="s">
        <v>33</v>
      </c>
      <c r="B4" s="72"/>
      <c r="C4" s="73"/>
      <c r="D4" s="69"/>
    </row>
    <row r="5" spans="1:4" ht="15.75">
      <c r="A5" s="108"/>
      <c r="B5" s="72"/>
      <c r="C5" s="73"/>
      <c r="D5" s="69"/>
    </row>
    <row r="6" spans="1:4" ht="15.75">
      <c r="A6" s="74"/>
      <c r="B6" s="72"/>
      <c r="C6" s="73">
        <f>'[1]budget 2009-03-24 (new format)'!X6</f>
        <v>0</v>
      </c>
      <c r="D6" s="69"/>
    </row>
    <row r="7" spans="1:4" ht="15.75">
      <c r="A7" s="74" t="s">
        <v>34</v>
      </c>
      <c r="B7" s="72"/>
      <c r="C7" s="73">
        <f>'[1]budget 2009-03-24 (new format)'!X7</f>
        <v>376</v>
      </c>
      <c r="D7" s="69"/>
    </row>
    <row r="8" spans="1:4" ht="15.75">
      <c r="A8" s="74" t="s">
        <v>35</v>
      </c>
      <c r="B8" s="72"/>
      <c r="C8" s="73">
        <f>'[1]budget 2009-03-24 (new format)'!X8</f>
        <v>67680</v>
      </c>
      <c r="D8" s="69"/>
    </row>
    <row r="9" spans="1:4" ht="15">
      <c r="A9" s="75"/>
      <c r="B9" s="76"/>
      <c r="C9" s="73">
        <f>'[1]budget 2009-03-24 (new format)'!X9</f>
        <v>-11520</v>
      </c>
      <c r="D9" s="69"/>
    </row>
    <row r="10" spans="1:4" ht="15.75">
      <c r="A10" s="77" t="s">
        <v>36</v>
      </c>
      <c r="B10" s="78"/>
      <c r="C10" s="73">
        <f>'[1]budget 2009-03-24 (new format)'!X10</f>
        <v>0</v>
      </c>
      <c r="D10" s="69"/>
    </row>
    <row r="11" spans="1:4" ht="15">
      <c r="A11" s="79" t="s">
        <v>37</v>
      </c>
      <c r="B11" s="80"/>
      <c r="C11" s="73">
        <f>'[1]budget 2009-03-24 (new format)'!X11</f>
        <v>0</v>
      </c>
      <c r="D11" s="69"/>
    </row>
    <row r="12" spans="1:4" ht="15">
      <c r="A12" s="81" t="s">
        <v>39</v>
      </c>
      <c r="B12" s="82">
        <v>704</v>
      </c>
      <c r="C12" s="73">
        <f>'[1]budget 2009-03-24 (new format)'!X12</f>
        <v>0</v>
      </c>
      <c r="D12" s="69"/>
    </row>
    <row r="13" spans="1:4" ht="15">
      <c r="A13" s="81" t="s">
        <v>40</v>
      </c>
      <c r="B13" s="82">
        <v>704</v>
      </c>
      <c r="C13" s="73">
        <f>'[1]budget 2009-03-24 (new format)'!X13</f>
        <v>79200</v>
      </c>
      <c r="D13" s="69">
        <v>81242</v>
      </c>
    </row>
    <row r="14" spans="1:4" ht="15">
      <c r="A14" s="81" t="s">
        <v>41</v>
      </c>
      <c r="B14" s="82">
        <v>704</v>
      </c>
      <c r="C14" s="73">
        <f>'[1]budget 2009-03-24 (new format)'!X14</f>
        <v>0</v>
      </c>
      <c r="D14" s="69"/>
    </row>
    <row r="15" spans="1:4" ht="15">
      <c r="A15" s="81" t="s">
        <v>42</v>
      </c>
      <c r="B15" s="82">
        <v>704</v>
      </c>
      <c r="C15" s="73">
        <f>'[1]budget 2009-03-24 (new format)'!X15</f>
        <v>0</v>
      </c>
      <c r="D15" s="69"/>
    </row>
    <row r="16" spans="1:4" ht="15">
      <c r="A16" s="81" t="s">
        <v>43</v>
      </c>
      <c r="B16" s="82">
        <v>704</v>
      </c>
      <c r="C16" s="73">
        <f>'[1]budget 2009-03-24 (new format)'!X16</f>
        <v>0</v>
      </c>
      <c r="D16" s="69"/>
    </row>
    <row r="17" spans="1:4" ht="15">
      <c r="A17" s="83" t="s">
        <v>44</v>
      </c>
      <c r="B17" s="84"/>
      <c r="C17" s="73">
        <f>'[1]budget 2009-03-24 (new format)'!X17</f>
        <v>79200</v>
      </c>
      <c r="D17" s="99">
        <f>SUM(D12:D16)</f>
        <v>81242</v>
      </c>
    </row>
    <row r="18" spans="1:4" ht="15">
      <c r="A18" s="81"/>
      <c r="B18" s="82"/>
      <c r="C18" s="73">
        <f>'[1]budget 2009-03-24 (new format)'!X18</f>
        <v>0</v>
      </c>
      <c r="D18" s="69"/>
    </row>
    <row r="19" spans="1:4" ht="15">
      <c r="A19" s="79" t="s">
        <v>45</v>
      </c>
      <c r="B19" s="80"/>
      <c r="C19" s="73">
        <f>'[1]budget 2009-03-24 (new format)'!X19</f>
        <v>0</v>
      </c>
      <c r="D19" s="69"/>
    </row>
    <row r="20" spans="1:4" ht="15">
      <c r="A20" s="81" t="s">
        <v>46</v>
      </c>
      <c r="B20" s="82">
        <v>709</v>
      </c>
      <c r="C20" s="73">
        <f>'[1]budget 2009-03-24 (new format)'!X20</f>
        <v>0</v>
      </c>
      <c r="D20" s="69"/>
    </row>
    <row r="21" spans="1:4" ht="15">
      <c r="A21" s="81" t="s">
        <v>47</v>
      </c>
      <c r="B21" s="82">
        <v>709</v>
      </c>
      <c r="C21" s="73">
        <f>'[1]budget 2009-03-24 (new format)'!X21</f>
        <v>0</v>
      </c>
      <c r="D21" s="69"/>
    </row>
    <row r="22" spans="1:4" ht="15">
      <c r="A22" s="83" t="s">
        <v>48</v>
      </c>
      <c r="B22" s="84"/>
      <c r="C22" s="73">
        <f>'[1]budget 2009-03-24 (new format)'!X22</f>
        <v>0</v>
      </c>
      <c r="D22" s="99">
        <f>SUM(D20:D21)</f>
        <v>0</v>
      </c>
    </row>
    <row r="23" spans="1:4" ht="15">
      <c r="A23" s="83"/>
      <c r="B23" s="84"/>
      <c r="C23" s="73">
        <f>'[1]budget 2009-03-24 (new format)'!X23</f>
        <v>0</v>
      </c>
      <c r="D23" s="69"/>
    </row>
    <row r="24" spans="1:4" ht="15">
      <c r="A24" s="79" t="s">
        <v>49</v>
      </c>
      <c r="B24" s="80"/>
      <c r="C24" s="73">
        <f>'[1]budget 2009-03-24 (new format)'!X24</f>
        <v>0</v>
      </c>
      <c r="D24" s="69"/>
    </row>
    <row r="25" spans="1:4" ht="15">
      <c r="A25" s="79" t="s">
        <v>50</v>
      </c>
      <c r="B25" s="80"/>
      <c r="C25" s="73">
        <f>'[1]budget 2009-03-24 (new format)'!X25</f>
        <v>0</v>
      </c>
      <c r="D25" s="69"/>
    </row>
    <row r="26" spans="1:4" ht="15">
      <c r="A26" s="79" t="s">
        <v>51</v>
      </c>
      <c r="B26" s="80"/>
      <c r="C26" s="73">
        <f>'[1]budget 2009-03-24 (new format)'!X26</f>
        <v>0</v>
      </c>
      <c r="D26" s="69"/>
    </row>
    <row r="27" spans="1:4" ht="15">
      <c r="A27" s="79" t="s">
        <v>52</v>
      </c>
      <c r="B27" s="80"/>
      <c r="C27" s="73">
        <f>'[1]budget 2009-03-24 (new format)'!X27</f>
        <v>0</v>
      </c>
      <c r="D27" s="69"/>
    </row>
    <row r="28" spans="1:4" ht="15">
      <c r="A28" s="81" t="s">
        <v>53</v>
      </c>
      <c r="B28" s="82"/>
      <c r="C28" s="73">
        <f>'[1]budget 2009-03-24 (new format)'!X28</f>
        <v>0</v>
      </c>
      <c r="D28" s="69"/>
    </row>
    <row r="29" spans="1:4" s="85" customFormat="1" ht="15.75">
      <c r="A29" s="83" t="s">
        <v>54</v>
      </c>
      <c r="B29" s="84"/>
      <c r="C29" s="73">
        <f>'[1]budget 2009-03-24 (new format)'!X29</f>
        <v>0</v>
      </c>
      <c r="D29" s="100">
        <f>SUM(D25:D28)</f>
        <v>0</v>
      </c>
    </row>
    <row r="30" spans="1:4" ht="15">
      <c r="A30" s="83"/>
      <c r="B30" s="84"/>
      <c r="C30" s="73">
        <f>'[1]budget 2009-03-24 (new format)'!X30</f>
        <v>0</v>
      </c>
      <c r="D30" s="69"/>
    </row>
    <row r="31" spans="1:4" ht="15">
      <c r="A31" s="86" t="s">
        <v>119</v>
      </c>
      <c r="B31" s="84"/>
      <c r="C31" s="73">
        <f>'[1]budget 2009-03-24 (new format)'!X31</f>
        <v>79200</v>
      </c>
      <c r="D31" s="101">
        <f>D29+D22+D17</f>
        <v>81242</v>
      </c>
    </row>
    <row r="32" spans="1:4" ht="15">
      <c r="A32" s="83"/>
      <c r="B32" s="84"/>
      <c r="C32" s="73">
        <f>'[1]budget 2009-03-24 (new format)'!X32</f>
        <v>0</v>
      </c>
      <c r="D32" s="69"/>
    </row>
    <row r="33" spans="1:4" ht="15">
      <c r="A33" s="83" t="s">
        <v>55</v>
      </c>
      <c r="B33" s="84"/>
      <c r="C33" s="73">
        <f>'[1]budget 2009-03-24 (new format)'!X33</f>
        <v>0</v>
      </c>
      <c r="D33" s="69"/>
    </row>
    <row r="34" spans="1:4" ht="22.5" customHeight="1">
      <c r="A34" s="79"/>
      <c r="B34" s="80"/>
      <c r="C34" s="73">
        <f>'[1]budget 2009-03-24 (new format)'!X34</f>
        <v>0</v>
      </c>
      <c r="D34" s="69"/>
    </row>
    <row r="35" spans="1:4" ht="12.75" customHeight="1">
      <c r="A35" s="108" t="s">
        <v>56</v>
      </c>
      <c r="B35" s="72"/>
      <c r="C35" s="73">
        <f>'[1]budget 2009-03-24 (new format)'!X35</f>
        <v>0</v>
      </c>
      <c r="D35" s="69"/>
    </row>
    <row r="36" spans="1:4" ht="15.75">
      <c r="A36" s="108"/>
      <c r="B36" s="72"/>
      <c r="C36" s="73">
        <f>'[1]budget 2009-03-24 (new format)'!X36</f>
        <v>0</v>
      </c>
      <c r="D36" s="69"/>
    </row>
    <row r="37" spans="1:4" ht="15">
      <c r="A37" s="75"/>
      <c r="B37" s="76"/>
      <c r="C37" s="73">
        <f>'[1]budget 2009-03-24 (new format)'!X37</f>
        <v>0</v>
      </c>
      <c r="D37" s="69"/>
    </row>
    <row r="38" spans="1:4" ht="15.75">
      <c r="A38" s="77" t="s">
        <v>120</v>
      </c>
      <c r="B38" s="78"/>
      <c r="C38" s="73">
        <f>'[1]budget 2009-03-24 (new format)'!X38</f>
        <v>0</v>
      </c>
      <c r="D38" s="69"/>
    </row>
    <row r="39" spans="1:4" ht="15">
      <c r="A39" s="79" t="s">
        <v>57</v>
      </c>
      <c r="B39" s="80"/>
      <c r="C39" s="73">
        <f>'[1]budget 2009-03-24 (new format)'!X39</f>
        <v>0</v>
      </c>
      <c r="D39" s="69"/>
    </row>
    <row r="40" spans="1:4" s="85" customFormat="1" ht="12.75" customHeight="1">
      <c r="A40" s="87" t="s">
        <v>58</v>
      </c>
      <c r="B40" s="78"/>
      <c r="C40" s="73">
        <f>'[1]budget 2009-03-24 (new format)'!X40</f>
        <v>4000</v>
      </c>
      <c r="D40" s="100">
        <f>SUM(D41:D44)</f>
        <v>1168.3400000000001</v>
      </c>
    </row>
    <row r="41" spans="1:4" ht="12.75" customHeight="1">
      <c r="A41" s="81" t="s">
        <v>59</v>
      </c>
      <c r="B41" s="82">
        <v>601</v>
      </c>
      <c r="C41" s="73">
        <f>'[1]budget 2009-03-24 (new format)'!X41</f>
        <v>500</v>
      </c>
      <c r="D41" s="69"/>
    </row>
    <row r="42" spans="1:4" ht="12.75" customHeight="1">
      <c r="A42" s="81" t="s">
        <v>60</v>
      </c>
      <c r="B42" s="82">
        <v>601</v>
      </c>
      <c r="C42" s="73">
        <f>'[1]budget 2009-03-24 (new format)'!X42</f>
        <v>2000</v>
      </c>
      <c r="D42" s="69">
        <v>994.34</v>
      </c>
    </row>
    <row r="43" spans="1:4" ht="15">
      <c r="A43" s="81" t="s">
        <v>61</v>
      </c>
      <c r="B43" s="82">
        <v>601</v>
      </c>
      <c r="C43" s="73">
        <f>'[1]budget 2009-03-24 (new format)'!X43</f>
        <v>500</v>
      </c>
      <c r="D43" s="69"/>
    </row>
    <row r="44" spans="1:4" ht="15">
      <c r="A44" s="81" t="s">
        <v>62</v>
      </c>
      <c r="B44" s="82">
        <v>601</v>
      </c>
      <c r="C44" s="73">
        <f>'[1]budget 2009-03-24 (new format)'!X44</f>
        <v>1000</v>
      </c>
      <c r="D44" s="69">
        <v>174</v>
      </c>
    </row>
    <row r="45" spans="1:4" s="85" customFormat="1" ht="15.75">
      <c r="A45" s="87" t="s">
        <v>63</v>
      </c>
      <c r="B45" s="78"/>
      <c r="C45" s="73">
        <f>'[1]budget 2009-03-24 (new format)'!X45</f>
        <v>25600</v>
      </c>
      <c r="D45" s="100">
        <f>SUM(D46:D56)</f>
        <v>8213.09</v>
      </c>
    </row>
    <row r="46" spans="1:4" ht="15">
      <c r="A46" s="81" t="s">
        <v>64</v>
      </c>
      <c r="B46" s="82">
        <v>602</v>
      </c>
      <c r="C46" s="73">
        <f>'[1]budget 2009-03-24 (new format)'!X46</f>
        <v>4200</v>
      </c>
      <c r="D46" s="69">
        <v>1855.58</v>
      </c>
    </row>
    <row r="47" spans="1:4" ht="15">
      <c r="A47" s="81" t="s">
        <v>65</v>
      </c>
      <c r="B47" s="82">
        <v>602</v>
      </c>
      <c r="C47" s="73">
        <f>'[1]budget 2009-03-24 (new format)'!X47</f>
        <v>0</v>
      </c>
      <c r="D47" s="69"/>
    </row>
    <row r="48" spans="1:4" ht="15">
      <c r="A48" s="81" t="s">
        <v>66</v>
      </c>
      <c r="B48" s="82">
        <v>602</v>
      </c>
      <c r="C48" s="73">
        <f>'[1]budget 2009-03-24 (new format)'!X48</f>
        <v>3600</v>
      </c>
      <c r="D48" s="69">
        <v>2842</v>
      </c>
    </row>
    <row r="49" spans="1:4" ht="15">
      <c r="A49" s="81" t="s">
        <v>67</v>
      </c>
      <c r="B49" s="82">
        <v>602</v>
      </c>
      <c r="C49" s="73">
        <f>'[1]budget 2009-03-24 (new format)'!X49</f>
        <v>0</v>
      </c>
      <c r="D49" s="69"/>
    </row>
    <row r="50" spans="1:4" ht="15">
      <c r="A50" s="81" t="s">
        <v>68</v>
      </c>
      <c r="B50" s="82">
        <v>602</v>
      </c>
      <c r="C50" s="73">
        <f>'[1]budget 2009-03-24 (new format)'!X50</f>
        <v>3000</v>
      </c>
      <c r="D50" s="69">
        <v>2357.1</v>
      </c>
    </row>
    <row r="51" spans="1:4" ht="30">
      <c r="A51" s="81" t="s">
        <v>69</v>
      </c>
      <c r="B51" s="82">
        <v>602</v>
      </c>
      <c r="C51" s="73">
        <f>'[1]budget 2009-03-24 (new format)'!X51</f>
        <v>0</v>
      </c>
      <c r="D51" s="69">
        <v>354</v>
      </c>
    </row>
    <row r="52" spans="1:4" ht="12.75" customHeight="1">
      <c r="A52" s="81" t="s">
        <v>70</v>
      </c>
      <c r="B52" s="82">
        <v>602</v>
      </c>
      <c r="C52" s="73">
        <f>'[1]budget 2009-03-24 (new format)'!X52</f>
        <v>14800</v>
      </c>
      <c r="D52" s="69">
        <v>248.41</v>
      </c>
    </row>
    <row r="53" spans="1:4" ht="15">
      <c r="A53" s="81" t="s">
        <v>71</v>
      </c>
      <c r="B53" s="82">
        <v>602</v>
      </c>
      <c r="C53" s="73">
        <f>'[1]budget 2009-03-24 (new format)'!X53</f>
        <v>0</v>
      </c>
      <c r="D53" s="69"/>
    </row>
    <row r="54" spans="1:4" ht="15">
      <c r="A54" s="81" t="s">
        <v>125</v>
      </c>
      <c r="B54" s="82">
        <v>602</v>
      </c>
      <c r="C54" s="73">
        <f>'[1]budget 2009-03-24 (new format)'!X54</f>
        <v>0</v>
      </c>
      <c r="D54" s="69">
        <v>556</v>
      </c>
    </row>
    <row r="55" spans="1:4" ht="15">
      <c r="A55" s="81" t="s">
        <v>72</v>
      </c>
      <c r="B55" s="82">
        <v>602</v>
      </c>
      <c r="C55" s="73">
        <f>'[1]budget 2009-03-24 (new format)'!X55</f>
        <v>0</v>
      </c>
      <c r="D55" s="69"/>
    </row>
    <row r="56" spans="1:4" ht="15">
      <c r="A56" s="81" t="s">
        <v>73</v>
      </c>
      <c r="B56" s="82">
        <v>602</v>
      </c>
      <c r="C56" s="73">
        <f>'[1]budget 2009-03-24 (new format)'!X56</f>
        <v>0</v>
      </c>
      <c r="D56" s="69"/>
    </row>
    <row r="57" spans="1:4" s="85" customFormat="1" ht="15.75">
      <c r="A57" s="87" t="s">
        <v>74</v>
      </c>
      <c r="B57" s="78"/>
      <c r="C57" s="73">
        <f>'[1]budget 2009-03-24 (new format)'!X57</f>
        <v>0</v>
      </c>
      <c r="D57" s="100">
        <f>SUM(D58:D59)</f>
        <v>0</v>
      </c>
    </row>
    <row r="58" spans="1:4" ht="15">
      <c r="A58" s="81" t="s">
        <v>75</v>
      </c>
      <c r="B58" s="82">
        <v>603</v>
      </c>
      <c r="C58" s="73">
        <f>'[1]budget 2009-03-24 (new format)'!X58</f>
        <v>0</v>
      </c>
      <c r="D58" s="69"/>
    </row>
    <row r="59" spans="1:4" ht="15">
      <c r="A59" s="81" t="s">
        <v>76</v>
      </c>
      <c r="B59" s="82">
        <v>603</v>
      </c>
      <c r="C59" s="73">
        <f>'[1]budget 2009-03-24 (new format)'!X59</f>
        <v>0</v>
      </c>
      <c r="D59" s="69"/>
    </row>
    <row r="60" spans="1:4" s="85" customFormat="1" ht="15.75">
      <c r="A60" s="87" t="s">
        <v>77</v>
      </c>
      <c r="B60" s="78"/>
      <c r="C60" s="73">
        <f>'[1]budget 2009-03-24 (new format)'!X60</f>
        <v>18500</v>
      </c>
      <c r="D60" s="100">
        <f>SUM(D61:D63)</f>
        <v>17200.86</v>
      </c>
    </row>
    <row r="61" spans="1:4" ht="15">
      <c r="A61" s="81" t="s">
        <v>78</v>
      </c>
      <c r="B61" s="82">
        <v>604</v>
      </c>
      <c r="C61" s="73">
        <f>'[1]budget 2009-03-24 (new format)'!X61</f>
        <v>18500</v>
      </c>
      <c r="D61" s="69">
        <v>10955</v>
      </c>
    </row>
    <row r="62" spans="1:4" ht="30">
      <c r="A62" s="81" t="s">
        <v>79</v>
      </c>
      <c r="B62" s="82">
        <v>604</v>
      </c>
      <c r="C62" s="73">
        <f>'[1]budget 2009-03-24 (new format)'!X62</f>
        <v>0</v>
      </c>
      <c r="D62" s="69">
        <v>4150</v>
      </c>
    </row>
    <row r="63" spans="1:4" ht="15">
      <c r="A63" s="81" t="s">
        <v>80</v>
      </c>
      <c r="B63" s="82">
        <v>605</v>
      </c>
      <c r="C63" s="73">
        <f>'[1]budget 2009-03-24 (new format)'!X63</f>
        <v>0</v>
      </c>
      <c r="D63" s="69">
        <v>2095.86</v>
      </c>
    </row>
    <row r="64" spans="1:4" s="85" customFormat="1" ht="15.75">
      <c r="A64" s="87" t="s">
        <v>81</v>
      </c>
      <c r="B64" s="78"/>
      <c r="C64" s="73">
        <f>'[1]budget 2009-03-24 (new format)'!X64</f>
        <v>10000</v>
      </c>
      <c r="D64" s="100">
        <f>SUM(D65:D70)</f>
        <v>14573.509999999998</v>
      </c>
    </row>
    <row r="65" spans="1:4" ht="15">
      <c r="A65" s="81" t="s">
        <v>82</v>
      </c>
      <c r="B65" s="82">
        <v>609</v>
      </c>
      <c r="C65" s="73">
        <f>'[1]budget 2009-03-24 (new format)'!X65</f>
        <v>1500</v>
      </c>
      <c r="D65" s="69">
        <v>444.93</v>
      </c>
    </row>
    <row r="66" spans="1:4" ht="15">
      <c r="A66" s="81" t="s">
        <v>83</v>
      </c>
      <c r="B66" s="82">
        <v>609</v>
      </c>
      <c r="C66" s="73">
        <f>'[1]budget 2009-03-24 (new format)'!X66</f>
        <v>2500</v>
      </c>
      <c r="D66" s="69">
        <v>1941.85</v>
      </c>
    </row>
    <row r="67" spans="1:4" ht="25.5" customHeight="1">
      <c r="A67" s="81" t="s">
        <v>84</v>
      </c>
      <c r="B67" s="82">
        <v>609</v>
      </c>
      <c r="C67" s="73">
        <f>'[1]budget 2009-03-24 (new format)'!X67</f>
        <v>1500</v>
      </c>
      <c r="D67" s="69">
        <f>8707.49+1698.4</f>
        <v>10405.89</v>
      </c>
    </row>
    <row r="68" spans="1:4" ht="30">
      <c r="A68" s="81" t="s">
        <v>85</v>
      </c>
      <c r="B68" s="82">
        <v>609</v>
      </c>
      <c r="C68" s="73">
        <f>'[1]budget 2009-03-24 (new format)'!X68</f>
        <v>2500</v>
      </c>
      <c r="D68" s="69"/>
    </row>
    <row r="69" spans="1:4" ht="15.75" customHeight="1">
      <c r="A69" s="81" t="s">
        <v>86</v>
      </c>
      <c r="B69" s="82">
        <v>609</v>
      </c>
      <c r="C69" s="73">
        <f>'[1]budget 2009-03-24 (new format)'!X69</f>
        <v>2000</v>
      </c>
      <c r="D69" s="69"/>
    </row>
    <row r="70" spans="1:4" ht="18.75" customHeight="1">
      <c r="A70" s="103" t="s">
        <v>124</v>
      </c>
      <c r="B70" s="104"/>
      <c r="C70" s="105">
        <f>'[1]budget 2009-03-24 (new format)'!X70</f>
        <v>0</v>
      </c>
      <c r="D70" s="106">
        <v>1780.84</v>
      </c>
    </row>
    <row r="71" spans="1:4" ht="15">
      <c r="A71" s="83" t="s">
        <v>87</v>
      </c>
      <c r="B71" s="84"/>
      <c r="C71" s="73">
        <f>'[1]budget 2009-03-24 (new format)'!X71</f>
        <v>58100</v>
      </c>
      <c r="D71" s="99">
        <f>D64+D60+D57+D45+D40</f>
        <v>41155.8</v>
      </c>
    </row>
    <row r="72" spans="1:4" ht="12.75" customHeight="1">
      <c r="A72" s="81"/>
      <c r="B72" s="82"/>
      <c r="C72" s="73">
        <f>'[1]budget 2009-03-24 (new format)'!X72</f>
        <v>0</v>
      </c>
      <c r="D72" s="69"/>
    </row>
    <row r="73" spans="1:4" ht="15">
      <c r="A73" s="79" t="s">
        <v>88</v>
      </c>
      <c r="B73" s="80"/>
      <c r="C73" s="73">
        <f>'[1]budget 2009-03-24 (new format)'!X73</f>
        <v>0</v>
      </c>
      <c r="D73" s="69"/>
    </row>
    <row r="74" spans="1:4" ht="15">
      <c r="A74" s="81" t="s">
        <v>89</v>
      </c>
      <c r="B74" s="82">
        <v>621</v>
      </c>
      <c r="C74" s="73">
        <f>'[1]budget 2009-03-24 (new format)'!X74</f>
        <v>0</v>
      </c>
      <c r="D74" s="69"/>
    </row>
    <row r="75" spans="1:4" ht="12.75" customHeight="1">
      <c r="A75" s="81" t="s">
        <v>90</v>
      </c>
      <c r="B75" s="82">
        <v>629</v>
      </c>
      <c r="C75" s="73">
        <f>'[1]budget 2009-03-24 (new format)'!X75</f>
        <v>300</v>
      </c>
      <c r="D75" s="69">
        <v>202.2</v>
      </c>
    </row>
    <row r="76" spans="1:4" ht="15">
      <c r="A76" s="83" t="s">
        <v>91</v>
      </c>
      <c r="B76" s="84"/>
      <c r="C76" s="73">
        <f>'[1]budget 2009-03-24 (new format)'!X76</f>
        <v>300</v>
      </c>
      <c r="D76" s="99">
        <f>SUM(D74:D75)</f>
        <v>202.2</v>
      </c>
    </row>
    <row r="77" spans="1:4" ht="15">
      <c r="A77" s="79"/>
      <c r="B77" s="80"/>
      <c r="C77" s="73">
        <f>'[1]budget 2009-03-24 (new format)'!X77</f>
        <v>0</v>
      </c>
      <c r="D77" s="69"/>
    </row>
    <row r="78" spans="1:4" ht="15">
      <c r="A78" s="79" t="s">
        <v>92</v>
      </c>
      <c r="B78" s="80"/>
      <c r="C78" s="73">
        <f>'[1]budget 2009-03-24 (new format)'!X78</f>
        <v>0</v>
      </c>
      <c r="D78" s="69"/>
    </row>
    <row r="79" spans="1:4" ht="15">
      <c r="A79" s="81" t="s">
        <v>93</v>
      </c>
      <c r="B79" s="82"/>
      <c r="C79" s="73">
        <f>'[1]budget 2009-03-24 (new format)'!X79</f>
        <v>19800</v>
      </c>
      <c r="D79" s="69">
        <f>0.25*D17</f>
        <v>20310.5</v>
      </c>
    </row>
    <row r="80" spans="1:4" ht="15">
      <c r="A80" s="81" t="s">
        <v>94</v>
      </c>
      <c r="B80" s="82"/>
      <c r="C80" s="73">
        <f>'[1]budget 2009-03-24 (new format)'!X80</f>
        <v>0</v>
      </c>
      <c r="D80" s="69"/>
    </row>
    <row r="81" spans="1:4" ht="15">
      <c r="A81" s="83" t="s">
        <v>95</v>
      </c>
      <c r="B81" s="84"/>
      <c r="C81" s="73">
        <f>'[1]budget 2009-03-24 (new format)'!X81</f>
        <v>19800</v>
      </c>
      <c r="D81" s="99">
        <f>SUM(D79:D80)</f>
        <v>20310.5</v>
      </c>
    </row>
    <row r="82" spans="1:4" ht="15">
      <c r="A82" s="81"/>
      <c r="B82" s="82"/>
      <c r="C82" s="73">
        <f>'[1]budget 2009-03-24 (new format)'!X82</f>
        <v>0</v>
      </c>
      <c r="D82" s="69"/>
    </row>
    <row r="83" spans="1:4" ht="30">
      <c r="A83" s="86" t="s">
        <v>121</v>
      </c>
      <c r="B83" s="84"/>
      <c r="C83" s="73">
        <f>'[1]budget 2009-03-24 (new format)'!X83</f>
        <v>78200</v>
      </c>
      <c r="D83" s="101">
        <f>D81+D76+D71</f>
        <v>61668.5</v>
      </c>
    </row>
    <row r="84" spans="1:4" ht="15">
      <c r="A84" s="79"/>
      <c r="B84" s="80"/>
      <c r="C84" s="73">
        <f>'[1]budget 2009-03-24 (new format)'!X84</f>
        <v>0</v>
      </c>
      <c r="D84" s="69"/>
    </row>
    <row r="85" spans="1:4" ht="15">
      <c r="A85" s="86" t="s">
        <v>96</v>
      </c>
      <c r="B85" s="84"/>
      <c r="C85" s="73">
        <f>'[1]budget 2009-03-24 (new format)'!X85</f>
        <v>0</v>
      </c>
      <c r="D85" s="69"/>
    </row>
    <row r="86" spans="1:4" ht="15">
      <c r="A86" s="79" t="s">
        <v>97</v>
      </c>
      <c r="B86" s="80"/>
      <c r="C86" s="73" t="str">
        <f>'[1]budget 2009-03-24 (new format)'!X86</f>
        <v> </v>
      </c>
      <c r="D86" s="69"/>
    </row>
    <row r="87" spans="1:4" ht="15">
      <c r="A87" s="79" t="s">
        <v>98</v>
      </c>
      <c r="B87" s="80"/>
      <c r="C87" s="73" t="str">
        <f>'[1]budget 2009-03-24 (new format)'!X87</f>
        <v> </v>
      </c>
      <c r="D87" s="69"/>
    </row>
    <row r="88" spans="1:4" ht="15">
      <c r="A88" s="79" t="s">
        <v>99</v>
      </c>
      <c r="B88" s="80"/>
      <c r="C88" s="73" t="str">
        <f>'[1]budget 2009-03-24 (new format)'!X88</f>
        <v> </v>
      </c>
      <c r="D88" s="69"/>
    </row>
    <row r="89" spans="1:4" ht="15">
      <c r="A89" s="79" t="s">
        <v>100</v>
      </c>
      <c r="B89" s="80"/>
      <c r="C89" s="73" t="str">
        <f>'[1]budget 2009-03-24 (new format)'!X89</f>
        <v> </v>
      </c>
      <c r="D89" s="69"/>
    </row>
    <row r="90" spans="1:4" ht="15">
      <c r="A90" s="79" t="s">
        <v>122</v>
      </c>
      <c r="B90" s="80"/>
      <c r="C90" s="73" t="str">
        <f>'[1]budget 2009-03-24 (new format)'!X90</f>
        <v> </v>
      </c>
      <c r="D90" s="69"/>
    </row>
    <row r="91" spans="1:4" ht="15">
      <c r="A91" s="79" t="s">
        <v>101</v>
      </c>
      <c r="B91" s="80"/>
      <c r="C91" s="73">
        <f>'[1]budget 2009-03-24 (new format)'!X91</f>
        <v>0</v>
      </c>
      <c r="D91" s="69"/>
    </row>
    <row r="92" spans="1:4" s="85" customFormat="1" ht="15.75">
      <c r="A92" s="88" t="s">
        <v>102</v>
      </c>
      <c r="B92" s="89"/>
      <c r="C92" s="73">
        <f>'[1]budget 2009-03-24 (new format)'!X92</f>
        <v>0</v>
      </c>
      <c r="D92" s="102">
        <f>SUM(D86:D91)</f>
        <v>0</v>
      </c>
    </row>
    <row r="93" spans="1:4" s="85" customFormat="1" ht="15.75">
      <c r="A93" s="90"/>
      <c r="B93" s="89"/>
      <c r="C93" s="73">
        <f>'[1]budget 2009-03-24 (new format)'!X93</f>
        <v>0</v>
      </c>
      <c r="D93" s="97"/>
    </row>
    <row r="94" spans="1:4" s="85" customFormat="1" ht="15.75">
      <c r="A94" s="88" t="s">
        <v>103</v>
      </c>
      <c r="B94" s="89"/>
      <c r="C94" s="73">
        <f>'[1]budget 2009-03-24 (new format)'!X94</f>
        <v>78200</v>
      </c>
      <c r="D94" s="102">
        <f>D92+D83</f>
        <v>61668.5</v>
      </c>
    </row>
    <row r="95" spans="1:4" s="85" customFormat="1" ht="15.75">
      <c r="A95" s="90"/>
      <c r="B95" s="89"/>
      <c r="C95" s="73">
        <f>'[1]budget 2009-03-24 (new format)'!X95</f>
        <v>0</v>
      </c>
      <c r="D95" s="97"/>
    </row>
    <row r="96" spans="1:4" s="85" customFormat="1" ht="15.75">
      <c r="A96" s="88" t="s">
        <v>131</v>
      </c>
      <c r="B96" s="88"/>
      <c r="C96" s="73">
        <f>'[1]budget 2009-03-24 (new format)'!X96</f>
        <v>207.9787234042553</v>
      </c>
      <c r="D96" s="97"/>
    </row>
    <row r="97" spans="1:4" s="85" customFormat="1" ht="15.75">
      <c r="A97" s="90"/>
      <c r="B97" s="89"/>
      <c r="C97" s="73">
        <f>'[1]budget 2009-03-24 (new format)'!X97</f>
        <v>0</v>
      </c>
      <c r="D97" s="97"/>
    </row>
    <row r="98" spans="1:4" s="85" customFormat="1" ht="15.75">
      <c r="A98" s="77" t="s">
        <v>105</v>
      </c>
      <c r="B98" s="78"/>
      <c r="C98" s="73">
        <f>'[1]budget 2009-03-24 (new format)'!X98</f>
        <v>1000</v>
      </c>
      <c r="D98" s="102">
        <f>D31-D94</f>
        <v>19573.5</v>
      </c>
    </row>
    <row r="99" spans="1:4" s="85" customFormat="1" ht="15.75">
      <c r="A99" s="87"/>
      <c r="B99" s="78"/>
      <c r="C99" s="73">
        <f>'[1]budget 2009-03-24 (new format)'!X99</f>
        <v>0</v>
      </c>
      <c r="D99" s="97"/>
    </row>
    <row r="100" spans="1:4" s="85" customFormat="1" ht="15.75">
      <c r="A100" s="77" t="s">
        <v>117</v>
      </c>
      <c r="B100" s="78"/>
      <c r="C100" s="73">
        <f>'[1]budget 2009-03-24 (new format)'!X100</f>
        <v>0</v>
      </c>
      <c r="D100" s="102">
        <f>SUM(D101:D102)</f>
        <v>0</v>
      </c>
    </row>
    <row r="101" spans="1:4" s="85" customFormat="1" ht="15.75">
      <c r="A101" s="87" t="s">
        <v>109</v>
      </c>
      <c r="B101" s="78"/>
      <c r="C101" s="73">
        <f>'[1]budget 2009-03-24 (new format)'!X101</f>
        <v>0</v>
      </c>
      <c r="D101" s="97"/>
    </row>
    <row r="102" spans="1:4" s="85" customFormat="1" ht="15.75">
      <c r="A102" s="87" t="s">
        <v>116</v>
      </c>
      <c r="B102" s="78"/>
      <c r="C102" s="73">
        <f>'[1]budget 2009-03-24 (new format)'!X102</f>
        <v>0</v>
      </c>
      <c r="D102" s="97"/>
    </row>
    <row r="103" spans="1:4" s="85" customFormat="1" ht="15.75">
      <c r="A103" s="87"/>
      <c r="B103" s="78"/>
      <c r="C103" s="73">
        <f>'[1]budget 2009-03-24 (new format)'!X103</f>
        <v>0</v>
      </c>
      <c r="D103" s="97"/>
    </row>
    <row r="104" spans="1:4" s="85" customFormat="1" ht="15.75">
      <c r="A104" s="77" t="s">
        <v>118</v>
      </c>
      <c r="B104" s="78"/>
      <c r="C104" s="73">
        <f>'[1]budget 2009-03-24 (new format)'!X104</f>
        <v>1000</v>
      </c>
      <c r="D104" s="102">
        <f>SUM(D105:D107)</f>
        <v>0</v>
      </c>
    </row>
    <row r="105" spans="1:4" ht="15">
      <c r="A105" s="81" t="s">
        <v>110</v>
      </c>
      <c r="B105" s="82"/>
      <c r="C105" s="73">
        <f>'[1]budget 2009-03-24 (new format)'!X105</f>
        <v>0</v>
      </c>
      <c r="D105" s="69"/>
    </row>
    <row r="106" spans="1:4" ht="30">
      <c r="A106" s="81" t="s">
        <v>111</v>
      </c>
      <c r="B106" s="82"/>
      <c r="C106" s="73">
        <f>'[1]budget 2009-03-24 (new format)'!X106</f>
        <v>1000</v>
      </c>
      <c r="D106" s="69"/>
    </row>
    <row r="107" spans="1:4" ht="30">
      <c r="A107" s="81" t="s">
        <v>112</v>
      </c>
      <c r="B107" s="82"/>
      <c r="C107" s="73">
        <f>'[1]budget 2009-03-24 (new format)'!X107</f>
        <v>0</v>
      </c>
      <c r="D107" s="69"/>
    </row>
    <row r="108" spans="1:4" ht="15">
      <c r="A108" s="83"/>
      <c r="B108" s="84"/>
      <c r="C108" s="73">
        <f>'[1]budget 2009-03-24 (new format)'!X108</f>
        <v>0</v>
      </c>
      <c r="D108" s="69"/>
    </row>
    <row r="109" spans="1:4" ht="15.75">
      <c r="A109" s="77" t="s">
        <v>123</v>
      </c>
      <c r="B109" s="86"/>
      <c r="C109" s="73">
        <f>'[1]budget 2009-03-24 (new format)'!X109</f>
        <v>0</v>
      </c>
      <c r="D109" s="69">
        <f>D98+D100-D104</f>
        <v>19573.5</v>
      </c>
    </row>
    <row r="110" spans="1:4" ht="15">
      <c r="A110" s="83"/>
      <c r="B110" s="84"/>
      <c r="C110" s="73">
        <f>'[1]budget 2009-03-24 (new format)'!X110</f>
        <v>0</v>
      </c>
      <c r="D110" s="69"/>
    </row>
    <row r="111" spans="1:4" ht="15">
      <c r="A111" s="83"/>
      <c r="B111" s="84"/>
      <c r="C111" s="73">
        <f>'[1]budget 2009-03-24 (new format)'!X111</f>
        <v>0</v>
      </c>
      <c r="D111" s="69"/>
    </row>
    <row r="112" spans="1:4" ht="15">
      <c r="A112" s="79"/>
      <c r="B112" s="80"/>
      <c r="C112" s="73">
        <f>'[1]budget 2009-03-24 (new format)'!X112</f>
        <v>0</v>
      </c>
      <c r="D112" s="69"/>
    </row>
    <row r="113" spans="1:4" ht="15">
      <c r="A113" s="86" t="s">
        <v>107</v>
      </c>
      <c r="B113" s="84"/>
      <c r="C113" s="73">
        <f>'[1]budget 2009-03-24 (new format)'!X113</f>
        <v>85695.39</v>
      </c>
      <c r="D113" s="69"/>
    </row>
    <row r="114" spans="1:4" s="92" customFormat="1" ht="15">
      <c r="A114" s="91" t="s">
        <v>113</v>
      </c>
      <c r="B114" s="82">
        <v>501</v>
      </c>
      <c r="C114" s="73">
        <f>'[1]budget 2009-03-24 (new format)'!X114</f>
        <v>788.48</v>
      </c>
      <c r="D114" s="93">
        <v>810.87</v>
      </c>
    </row>
    <row r="115" spans="1:4" s="92" customFormat="1" ht="30">
      <c r="A115" s="91" t="s">
        <v>115</v>
      </c>
      <c r="B115" s="82">
        <v>503</v>
      </c>
      <c r="C115" s="73">
        <f>'[1]budget 2009-03-24 (new format)'!X115</f>
        <v>60176.18</v>
      </c>
      <c r="D115" s="93">
        <v>74114.72</v>
      </c>
    </row>
    <row r="116" spans="1:4" s="92" customFormat="1" ht="15">
      <c r="A116" s="93" t="s">
        <v>114</v>
      </c>
      <c r="B116" s="70">
        <v>507</v>
      </c>
      <c r="C116" s="73">
        <f>'[1]budget 2009-03-24 (new format)'!X116</f>
        <v>24730.73</v>
      </c>
      <c r="D116" s="93">
        <v>30121.69</v>
      </c>
    </row>
    <row r="117" spans="1:4" ht="15">
      <c r="A117" s="79"/>
      <c r="B117" s="80"/>
      <c r="C117" s="73">
        <f>'[1]budget 2009-03-24 (new format)'!X117</f>
        <v>0</v>
      </c>
      <c r="D117" s="69"/>
    </row>
    <row r="118" spans="1:4" ht="13.5" customHeight="1">
      <c r="A118" s="94" t="s">
        <v>133</v>
      </c>
      <c r="B118" s="95">
        <v>705</v>
      </c>
      <c r="C118" s="73">
        <f>'[1]budget 2009-03-24 (new format)'!X118</f>
        <v>68566</v>
      </c>
      <c r="D118" s="69">
        <v>68574</v>
      </c>
    </row>
    <row r="119" spans="1:4" s="92" customFormat="1" ht="15">
      <c r="A119" s="96" t="s">
        <v>106</v>
      </c>
      <c r="B119" s="89"/>
      <c r="C119" s="73">
        <f>'[1]budget 2009-03-24 (new format)'!X119</f>
        <v>68566</v>
      </c>
      <c r="D119" s="93"/>
    </row>
    <row r="120" spans="1:4" s="92" customFormat="1" ht="15">
      <c r="A120" s="96"/>
      <c r="B120" s="89"/>
      <c r="C120" s="73">
        <f>'[1]budget 2009-03-24 (new format)'!X120</f>
        <v>0</v>
      </c>
      <c r="D120" s="93"/>
    </row>
    <row r="121" spans="1:4" ht="15">
      <c r="A121" s="90"/>
      <c r="B121" s="89"/>
      <c r="C121" s="73">
        <f>'[1]budget 2009-03-24 (new format)'!X121</f>
        <v>0</v>
      </c>
      <c r="D121" s="69"/>
    </row>
    <row r="122" spans="1:4" ht="15.75">
      <c r="A122" s="86" t="s">
        <v>130</v>
      </c>
      <c r="B122" s="78">
        <v>117</v>
      </c>
      <c r="C122" s="73">
        <f>'[1]budget 2009-03-24 (new format)'!X122</f>
        <v>17129.39</v>
      </c>
      <c r="D122" s="69"/>
    </row>
    <row r="123" spans="1:4" ht="15">
      <c r="A123" s="83"/>
      <c r="B123" s="83"/>
      <c r="C123" s="69">
        <f>'[1]budget 2009-03-24 (new format)'!X123</f>
        <v>0</v>
      </c>
      <c r="D123" s="69"/>
    </row>
    <row r="124" spans="2:4" ht="15">
      <c r="B124" s="66"/>
      <c r="C124" s="66"/>
      <c r="D124" s="66"/>
    </row>
    <row r="125" spans="2:4" ht="15">
      <c r="B125" s="66"/>
      <c r="C125" s="66"/>
      <c r="D125" s="66"/>
    </row>
    <row r="126" spans="2:4" ht="15">
      <c r="B126" s="66"/>
      <c r="C126" s="66"/>
      <c r="D126" s="66"/>
    </row>
    <row r="127" ht="15">
      <c r="C127" s="68"/>
    </row>
    <row r="128" ht="15">
      <c r="C128" s="68"/>
    </row>
    <row r="129" ht="15">
      <c r="C129" s="68"/>
    </row>
    <row r="130" ht="15">
      <c r="C130" s="68"/>
    </row>
    <row r="131" ht="15">
      <c r="C131" s="68"/>
    </row>
    <row r="132" ht="15">
      <c r="C132" s="68"/>
    </row>
    <row r="133" ht="15">
      <c r="C133" s="68"/>
    </row>
    <row r="134" ht="15">
      <c r="C134" s="68"/>
    </row>
    <row r="135" ht="15">
      <c r="C135" s="68"/>
    </row>
    <row r="136" ht="15">
      <c r="C136" s="68"/>
    </row>
    <row r="137" ht="15">
      <c r="C137" s="68"/>
    </row>
    <row r="138" ht="15">
      <c r="C138" s="68"/>
    </row>
    <row r="139" ht="15">
      <c r="C139" s="68"/>
    </row>
    <row r="140" ht="15">
      <c r="C140" s="68"/>
    </row>
    <row r="141" ht="15">
      <c r="C141" s="68"/>
    </row>
    <row r="142" ht="15">
      <c r="C142" s="68"/>
    </row>
    <row r="143" ht="15">
      <c r="C143" s="68"/>
    </row>
    <row r="144" ht="15">
      <c r="C144" s="68"/>
    </row>
    <row r="145" ht="15">
      <c r="C145" s="68"/>
    </row>
    <row r="146" ht="15">
      <c r="C146" s="68"/>
    </row>
    <row r="147" ht="15">
      <c r="C147" s="68"/>
    </row>
    <row r="148" ht="14.25" customHeight="1">
      <c r="C148" s="68"/>
    </row>
    <row r="149" ht="15">
      <c r="C149" s="68"/>
    </row>
    <row r="150" ht="15">
      <c r="C150" s="68"/>
    </row>
    <row r="151" ht="15">
      <c r="C151" s="68"/>
    </row>
    <row r="152" ht="15">
      <c r="C152" s="68"/>
    </row>
    <row r="153" ht="15">
      <c r="C153" s="68"/>
    </row>
    <row r="154" ht="15">
      <c r="C154" s="68"/>
    </row>
    <row r="155" ht="15">
      <c r="C155" s="68"/>
    </row>
    <row r="156" ht="15">
      <c r="C156" s="68"/>
    </row>
    <row r="157" ht="15">
      <c r="C157" s="68"/>
    </row>
    <row r="158" ht="15">
      <c r="C158" s="68"/>
    </row>
    <row r="159" ht="15">
      <c r="C159" s="68"/>
    </row>
    <row r="160" ht="15">
      <c r="C160" s="68"/>
    </row>
    <row r="161" ht="15">
      <c r="C161" s="68"/>
    </row>
    <row r="162" ht="15">
      <c r="C162" s="68"/>
    </row>
    <row r="163" ht="15">
      <c r="C163" s="68"/>
    </row>
    <row r="164" ht="15">
      <c r="C164" s="68"/>
    </row>
    <row r="165" ht="15">
      <c r="C165" s="68"/>
    </row>
    <row r="166" ht="15">
      <c r="C166" s="68"/>
    </row>
    <row r="167" ht="15">
      <c r="C167" s="68"/>
    </row>
    <row r="168" ht="15">
      <c r="C168" s="68"/>
    </row>
    <row r="169" ht="15">
      <c r="C169" s="68"/>
    </row>
    <row r="170" ht="15">
      <c r="C170" s="68"/>
    </row>
    <row r="171" ht="15">
      <c r="C171" s="68"/>
    </row>
    <row r="172" ht="15">
      <c r="C172" s="68"/>
    </row>
    <row r="173" ht="15">
      <c r="C173" s="68"/>
    </row>
    <row r="174" ht="15">
      <c r="C174" s="68"/>
    </row>
    <row r="175" ht="15">
      <c r="C175" s="68"/>
    </row>
    <row r="176" ht="15">
      <c r="C176" s="68"/>
    </row>
    <row r="177" ht="15">
      <c r="C177" s="68"/>
    </row>
    <row r="178" ht="15">
      <c r="C178" s="68"/>
    </row>
    <row r="179" ht="15">
      <c r="C179" s="68"/>
    </row>
    <row r="180" ht="15">
      <c r="C180" s="68"/>
    </row>
    <row r="181" ht="15">
      <c r="C181" s="68"/>
    </row>
    <row r="182" ht="15">
      <c r="C182" s="68"/>
    </row>
    <row r="183" ht="15">
      <c r="C183" s="68"/>
    </row>
    <row r="184" ht="15">
      <c r="C184" s="68"/>
    </row>
    <row r="185" ht="15">
      <c r="C185" s="68"/>
    </row>
    <row r="186" ht="15">
      <c r="C186" s="68"/>
    </row>
    <row r="187" ht="15">
      <c r="C187" s="68"/>
    </row>
    <row r="188" ht="15">
      <c r="C188" s="68"/>
    </row>
    <row r="189" ht="15">
      <c r="C189" s="68"/>
    </row>
    <row r="190" ht="15">
      <c r="C190" s="68"/>
    </row>
    <row r="191" ht="15">
      <c r="C191" s="68"/>
    </row>
    <row r="192" ht="15">
      <c r="C192" s="68"/>
    </row>
    <row r="193" ht="15">
      <c r="C193" s="68"/>
    </row>
    <row r="194" ht="15">
      <c r="C194" s="68"/>
    </row>
    <row r="195" ht="15">
      <c r="C195" s="68"/>
    </row>
    <row r="196" ht="15">
      <c r="C196" s="68"/>
    </row>
    <row r="197" ht="15">
      <c r="C197" s="68"/>
    </row>
    <row r="198" ht="15">
      <c r="C198" s="68"/>
    </row>
    <row r="199" ht="15">
      <c r="C199" s="68"/>
    </row>
    <row r="200" ht="15">
      <c r="C200" s="68"/>
    </row>
    <row r="201" ht="15">
      <c r="C201" s="68"/>
    </row>
    <row r="202" ht="15">
      <c r="C202" s="68"/>
    </row>
    <row r="203" ht="15">
      <c r="C203" s="68"/>
    </row>
    <row r="204" ht="15">
      <c r="C204" s="68"/>
    </row>
    <row r="205" ht="15">
      <c r="C205" s="68"/>
    </row>
    <row r="206" ht="15">
      <c r="C206" s="68"/>
    </row>
    <row r="207" ht="15">
      <c r="C207" s="68"/>
    </row>
    <row r="208" ht="15">
      <c r="C208" s="68"/>
    </row>
    <row r="209" ht="15">
      <c r="C209" s="68"/>
    </row>
    <row r="210" ht="15">
      <c r="C210" s="68"/>
    </row>
    <row r="211" ht="15">
      <c r="C211" s="68"/>
    </row>
    <row r="212" ht="15">
      <c r="C212" s="68"/>
    </row>
    <row r="213" ht="15">
      <c r="C213" s="68"/>
    </row>
    <row r="214" ht="15">
      <c r="C214" s="68"/>
    </row>
    <row r="215" ht="15">
      <c r="C215" s="68"/>
    </row>
    <row r="216" ht="15">
      <c r="C216" s="68"/>
    </row>
    <row r="217" ht="15">
      <c r="C217" s="68"/>
    </row>
    <row r="218" ht="15">
      <c r="C218" s="68"/>
    </row>
    <row r="219" ht="15">
      <c r="C219" s="68"/>
    </row>
    <row r="220" ht="15">
      <c r="C220" s="68"/>
    </row>
    <row r="221" ht="15">
      <c r="C221" s="68"/>
    </row>
    <row r="222" ht="15">
      <c r="C222" s="68"/>
    </row>
    <row r="223" ht="15">
      <c r="C223" s="68"/>
    </row>
    <row r="224" ht="15">
      <c r="C224" s="68"/>
    </row>
    <row r="225" ht="15">
      <c r="C225" s="68"/>
    </row>
    <row r="226" ht="15">
      <c r="C226" s="68"/>
    </row>
    <row r="227" ht="15">
      <c r="C227" s="68"/>
    </row>
    <row r="228" ht="15">
      <c r="C228" s="68"/>
    </row>
    <row r="229" ht="15">
      <c r="C229" s="68"/>
    </row>
    <row r="230" ht="15">
      <c r="C230" s="68"/>
    </row>
    <row r="231" ht="15">
      <c r="C231" s="68"/>
    </row>
    <row r="232" ht="15">
      <c r="C232" s="68"/>
    </row>
    <row r="233" ht="15">
      <c r="C233" s="68"/>
    </row>
    <row r="234" ht="15">
      <c r="C234" s="68"/>
    </row>
    <row r="235" ht="15">
      <c r="C235" s="68"/>
    </row>
    <row r="236" ht="15">
      <c r="C236" s="68"/>
    </row>
    <row r="237" ht="15">
      <c r="C237" s="68"/>
    </row>
    <row r="238" ht="15">
      <c r="C238" s="68"/>
    </row>
    <row r="239" ht="15">
      <c r="C239" s="68"/>
    </row>
    <row r="240" ht="15">
      <c r="C240" s="68"/>
    </row>
    <row r="241" ht="15">
      <c r="C241" s="68"/>
    </row>
    <row r="242" ht="15">
      <c r="C242" s="68"/>
    </row>
    <row r="243" ht="15">
      <c r="C243" s="68"/>
    </row>
    <row r="244" ht="15">
      <c r="C244" s="68"/>
    </row>
    <row r="245" ht="15">
      <c r="C245" s="68"/>
    </row>
    <row r="246" ht="15">
      <c r="C246" s="68"/>
    </row>
    <row r="247" ht="15">
      <c r="C247" s="68"/>
    </row>
    <row r="248" ht="15">
      <c r="C248" s="68"/>
    </row>
    <row r="249" ht="15">
      <c r="C249" s="68"/>
    </row>
    <row r="250" ht="15">
      <c r="C250" s="68"/>
    </row>
    <row r="251" ht="15">
      <c r="C251" s="68"/>
    </row>
    <row r="252" ht="15">
      <c r="C252" s="68"/>
    </row>
    <row r="253" ht="15">
      <c r="C253" s="68"/>
    </row>
    <row r="254" ht="15">
      <c r="C254" s="68"/>
    </row>
    <row r="255" ht="15">
      <c r="C255" s="68"/>
    </row>
    <row r="256" ht="15">
      <c r="C256" s="68"/>
    </row>
    <row r="257" ht="15">
      <c r="C257" s="68"/>
    </row>
    <row r="258" ht="15">
      <c r="C258" s="68"/>
    </row>
    <row r="259" ht="15">
      <c r="C259" s="68"/>
    </row>
    <row r="260" ht="15">
      <c r="C260" s="68"/>
    </row>
    <row r="261" ht="15">
      <c r="C261" s="68"/>
    </row>
    <row r="262" ht="15">
      <c r="C262" s="68"/>
    </row>
    <row r="263" ht="15">
      <c r="C263" s="68"/>
    </row>
    <row r="264" ht="15">
      <c r="C264" s="68"/>
    </row>
    <row r="265" ht="15">
      <c r="C265" s="68"/>
    </row>
    <row r="266" ht="15">
      <c r="C266" s="68"/>
    </row>
    <row r="267" ht="15">
      <c r="C267" s="68"/>
    </row>
    <row r="268" ht="15">
      <c r="C268" s="68"/>
    </row>
    <row r="269" ht="15">
      <c r="C269" s="68"/>
    </row>
    <row r="270" ht="15">
      <c r="C270" s="68"/>
    </row>
    <row r="271" ht="15">
      <c r="C271" s="68"/>
    </row>
    <row r="272" ht="15">
      <c r="C272" s="68"/>
    </row>
    <row r="273" ht="15">
      <c r="C273" s="68"/>
    </row>
    <row r="274" ht="15">
      <c r="C274" s="68"/>
    </row>
    <row r="275" ht="15">
      <c r="C275" s="68"/>
    </row>
    <row r="276" ht="15">
      <c r="C276" s="68"/>
    </row>
    <row r="277" ht="15">
      <c r="C277" s="68"/>
    </row>
    <row r="278" ht="15">
      <c r="C278" s="68"/>
    </row>
    <row r="279" ht="15">
      <c r="C279" s="68"/>
    </row>
    <row r="280" ht="15">
      <c r="C280" s="68"/>
    </row>
    <row r="281" ht="15">
      <c r="C281" s="68"/>
    </row>
    <row r="282" ht="15">
      <c r="C282" s="68"/>
    </row>
    <row r="283" ht="15">
      <c r="C283" s="68"/>
    </row>
    <row r="284" ht="15">
      <c r="C284" s="68"/>
    </row>
    <row r="285" ht="15">
      <c r="C285" s="68"/>
    </row>
    <row r="286" ht="15">
      <c r="C286" s="68"/>
    </row>
    <row r="287" ht="15">
      <c r="C287" s="68"/>
    </row>
    <row r="288" ht="15">
      <c r="C288" s="68"/>
    </row>
    <row r="289" ht="15">
      <c r="C289" s="68"/>
    </row>
    <row r="290" ht="15">
      <c r="C290" s="68"/>
    </row>
    <row r="291" ht="15">
      <c r="C291" s="68"/>
    </row>
    <row r="292" ht="15">
      <c r="C292" s="68"/>
    </row>
    <row r="293" ht="15">
      <c r="C293" s="68"/>
    </row>
    <row r="294" ht="15">
      <c r="C294" s="68"/>
    </row>
    <row r="295" ht="15">
      <c r="C295" s="68"/>
    </row>
    <row r="296" ht="15">
      <c r="C296" s="68"/>
    </row>
    <row r="297" ht="15">
      <c r="C297" s="68"/>
    </row>
    <row r="298" ht="15">
      <c r="C298" s="68"/>
    </row>
    <row r="299" ht="15">
      <c r="C299" s="68"/>
    </row>
    <row r="300" ht="15">
      <c r="C300" s="68"/>
    </row>
    <row r="301" ht="15">
      <c r="C301" s="68"/>
    </row>
    <row r="302" ht="15">
      <c r="C302" s="68"/>
    </row>
    <row r="303" ht="15">
      <c r="C303" s="68"/>
    </row>
    <row r="304" ht="15">
      <c r="C304" s="68"/>
    </row>
    <row r="305" ht="15">
      <c r="C305" s="68"/>
    </row>
    <row r="306" ht="15">
      <c r="C306" s="68"/>
    </row>
    <row r="307" ht="15">
      <c r="C307" s="68"/>
    </row>
    <row r="308" ht="15">
      <c r="C308" s="68"/>
    </row>
    <row r="309" ht="15">
      <c r="C309" s="68"/>
    </row>
    <row r="310" ht="15">
      <c r="C310" s="68"/>
    </row>
    <row r="311" ht="15">
      <c r="C311" s="68"/>
    </row>
    <row r="312" ht="15">
      <c r="C312" s="68"/>
    </row>
    <row r="313" ht="15">
      <c r="C313" s="68"/>
    </row>
    <row r="314" ht="15">
      <c r="C314" s="68"/>
    </row>
    <row r="315" ht="15">
      <c r="C315" s="68"/>
    </row>
    <row r="316" ht="15">
      <c r="C316" s="68"/>
    </row>
    <row r="317" ht="15">
      <c r="C317" s="68"/>
    </row>
    <row r="318" ht="15">
      <c r="C318" s="68"/>
    </row>
    <row r="319" ht="15">
      <c r="C319" s="68"/>
    </row>
    <row r="320" ht="15">
      <c r="C320" s="68"/>
    </row>
    <row r="321" ht="15">
      <c r="C321" s="68"/>
    </row>
    <row r="322" ht="15">
      <c r="C322" s="68"/>
    </row>
    <row r="323" ht="15">
      <c r="C323" s="68"/>
    </row>
    <row r="324" ht="15">
      <c r="C324" s="68"/>
    </row>
    <row r="325" ht="15">
      <c r="C325" s="68"/>
    </row>
    <row r="326" ht="15">
      <c r="C326" s="68"/>
    </row>
    <row r="327" ht="15">
      <c r="C327" s="68"/>
    </row>
    <row r="328" ht="15">
      <c r="C328" s="68"/>
    </row>
    <row r="329" ht="15">
      <c r="C329" s="68"/>
    </row>
    <row r="330" ht="15">
      <c r="C330" s="68"/>
    </row>
    <row r="331" ht="15">
      <c r="C331" s="68"/>
    </row>
    <row r="332" ht="15">
      <c r="C332" s="68"/>
    </row>
    <row r="333" ht="15">
      <c r="C333" s="68"/>
    </row>
    <row r="334" ht="15">
      <c r="C334" s="68"/>
    </row>
    <row r="335" ht="15">
      <c r="C335" s="68"/>
    </row>
    <row r="336" ht="15">
      <c r="C336" s="68"/>
    </row>
    <row r="337" ht="15">
      <c r="C337" s="68"/>
    </row>
    <row r="338" ht="15">
      <c r="C338" s="68"/>
    </row>
    <row r="339" ht="15">
      <c r="C339" s="68"/>
    </row>
    <row r="340" ht="15">
      <c r="C340" s="68"/>
    </row>
    <row r="341" ht="15">
      <c r="C341" s="68"/>
    </row>
    <row r="342" ht="15">
      <c r="C342" s="68"/>
    </row>
    <row r="343" ht="15">
      <c r="C343" s="68"/>
    </row>
    <row r="344" ht="15">
      <c r="C344" s="68"/>
    </row>
    <row r="345" ht="15">
      <c r="C345" s="68"/>
    </row>
    <row r="346" ht="15">
      <c r="C346" s="68"/>
    </row>
    <row r="347" ht="15">
      <c r="C347" s="68"/>
    </row>
    <row r="348" ht="15">
      <c r="C348" s="68"/>
    </row>
    <row r="349" ht="15">
      <c r="C349" s="68"/>
    </row>
    <row r="350" ht="15">
      <c r="C350" s="68"/>
    </row>
    <row r="351" ht="15">
      <c r="C351" s="68"/>
    </row>
    <row r="352" ht="15">
      <c r="C352" s="68"/>
    </row>
    <row r="353" ht="15">
      <c r="C353" s="68"/>
    </row>
    <row r="354" ht="15">
      <c r="C354" s="68"/>
    </row>
    <row r="355" ht="15">
      <c r="C355" s="68"/>
    </row>
    <row r="356" ht="15">
      <c r="C356" s="68"/>
    </row>
    <row r="357" ht="15">
      <c r="C357" s="68"/>
    </row>
    <row r="358" ht="15">
      <c r="C358" s="68"/>
    </row>
    <row r="359" ht="15">
      <c r="C359" s="68"/>
    </row>
    <row r="360" ht="15">
      <c r="C360" s="68"/>
    </row>
    <row r="361" ht="15">
      <c r="C361" s="68"/>
    </row>
    <row r="362" ht="15">
      <c r="C362" s="68"/>
    </row>
    <row r="363" ht="15">
      <c r="C363" s="68"/>
    </row>
    <row r="364" ht="15">
      <c r="C364" s="68"/>
    </row>
    <row r="365" ht="15">
      <c r="C365" s="68"/>
    </row>
    <row r="366" ht="15">
      <c r="C366" s="68"/>
    </row>
    <row r="367" ht="15">
      <c r="C367" s="68"/>
    </row>
    <row r="368" ht="15">
      <c r="C368" s="68"/>
    </row>
    <row r="369" ht="15">
      <c r="C369" s="68"/>
    </row>
    <row r="370" ht="15">
      <c r="C370" s="68"/>
    </row>
    <row r="371" ht="15">
      <c r="C371" s="68"/>
    </row>
    <row r="372" ht="15">
      <c r="C372" s="68"/>
    </row>
    <row r="373" ht="15">
      <c r="C373" s="68"/>
    </row>
    <row r="374" ht="15">
      <c r="C374" s="68"/>
    </row>
    <row r="375" ht="15">
      <c r="C375" s="68"/>
    </row>
    <row r="376" ht="15">
      <c r="C376" s="68"/>
    </row>
    <row r="377" ht="15">
      <c r="C377" s="68"/>
    </row>
    <row r="378" ht="15">
      <c r="C378" s="68"/>
    </row>
    <row r="379" ht="15">
      <c r="C379" s="68"/>
    </row>
    <row r="380" ht="15">
      <c r="C380" s="68"/>
    </row>
    <row r="381" ht="15">
      <c r="C381" s="68"/>
    </row>
    <row r="382" ht="15">
      <c r="C382" s="68"/>
    </row>
    <row r="383" ht="15">
      <c r="C383" s="68"/>
    </row>
    <row r="384" ht="15">
      <c r="C384" s="68"/>
    </row>
    <row r="385" ht="15">
      <c r="C385" s="68"/>
    </row>
    <row r="386" ht="15">
      <c r="C386" s="68"/>
    </row>
    <row r="387" ht="15">
      <c r="C387" s="68"/>
    </row>
    <row r="388" ht="15">
      <c r="C388" s="68"/>
    </row>
    <row r="389" ht="15">
      <c r="C389" s="68"/>
    </row>
    <row r="390" ht="15">
      <c r="C390" s="68"/>
    </row>
    <row r="391" ht="15">
      <c r="C391" s="68"/>
    </row>
    <row r="392" ht="15">
      <c r="C392" s="68"/>
    </row>
    <row r="393" ht="15">
      <c r="C393" s="68"/>
    </row>
    <row r="394" ht="15">
      <c r="C394" s="68"/>
    </row>
    <row r="395" ht="15">
      <c r="C395" s="68"/>
    </row>
    <row r="396" ht="15">
      <c r="C396" s="68"/>
    </row>
    <row r="397" ht="15">
      <c r="C397" s="68"/>
    </row>
    <row r="398" ht="15">
      <c r="C398" s="68"/>
    </row>
    <row r="399" ht="15">
      <c r="C399" s="68"/>
    </row>
    <row r="400" ht="15">
      <c r="C400" s="68"/>
    </row>
    <row r="401" ht="15">
      <c r="C401" s="68"/>
    </row>
    <row r="402" ht="15">
      <c r="C402" s="68"/>
    </row>
    <row r="403" ht="15">
      <c r="C403" s="68"/>
    </row>
    <row r="404" ht="15">
      <c r="C404" s="68"/>
    </row>
    <row r="405" ht="15">
      <c r="C405" s="68"/>
    </row>
    <row r="406" ht="15">
      <c r="C406" s="68"/>
    </row>
    <row r="407" ht="15">
      <c r="C407" s="68"/>
    </row>
    <row r="408" ht="15">
      <c r="C408" s="68"/>
    </row>
    <row r="409" ht="15">
      <c r="C409" s="68"/>
    </row>
    <row r="410" ht="15">
      <c r="C410" s="68"/>
    </row>
    <row r="411" ht="15">
      <c r="C411" s="68"/>
    </row>
    <row r="412" ht="15">
      <c r="C412" s="68"/>
    </row>
    <row r="413" ht="15">
      <c r="C413" s="68"/>
    </row>
    <row r="414" ht="15">
      <c r="C414" s="68"/>
    </row>
    <row r="415" ht="15">
      <c r="C415" s="68"/>
    </row>
    <row r="416" ht="15">
      <c r="C416" s="68"/>
    </row>
    <row r="417" ht="15">
      <c r="C417" s="68"/>
    </row>
    <row r="418" ht="15">
      <c r="C418" s="68"/>
    </row>
    <row r="419" ht="15">
      <c r="C419" s="68"/>
    </row>
    <row r="420" ht="15">
      <c r="C420" s="68"/>
    </row>
    <row r="421" ht="15">
      <c r="C421" s="68"/>
    </row>
    <row r="422" ht="15">
      <c r="C422" s="68"/>
    </row>
    <row r="423" ht="15">
      <c r="C423" s="68"/>
    </row>
    <row r="424" ht="15">
      <c r="C424" s="68"/>
    </row>
    <row r="425" ht="15">
      <c r="C425" s="68"/>
    </row>
    <row r="426" ht="15">
      <c r="C426" s="68"/>
    </row>
    <row r="427" ht="15">
      <c r="C427" s="68"/>
    </row>
    <row r="428" ht="15">
      <c r="C428" s="68"/>
    </row>
    <row r="429" ht="15">
      <c r="C429" s="68"/>
    </row>
    <row r="430" ht="15">
      <c r="C430" s="68"/>
    </row>
    <row r="431" ht="15">
      <c r="C431" s="68"/>
    </row>
    <row r="432" ht="15">
      <c r="C432" s="68"/>
    </row>
    <row r="433" ht="15">
      <c r="C433" s="68"/>
    </row>
    <row r="434" ht="15">
      <c r="C434" s="68"/>
    </row>
    <row r="435" ht="15">
      <c r="C435" s="68"/>
    </row>
    <row r="436" ht="15">
      <c r="C436" s="68"/>
    </row>
    <row r="437" ht="15">
      <c r="C437" s="68"/>
    </row>
  </sheetData>
  <mergeCells count="2">
    <mergeCell ref="A4:A5"/>
    <mergeCell ref="A35:A36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X-Zibit</dc:creator>
  <cp:keywords/>
  <dc:description/>
  <cp:lastModifiedBy>n</cp:lastModifiedBy>
  <cp:lastPrinted>2009-10-30T08:31:35Z</cp:lastPrinted>
  <dcterms:created xsi:type="dcterms:W3CDTF">2009-03-24T06:53:29Z</dcterms:created>
  <dcterms:modified xsi:type="dcterms:W3CDTF">2010-02-16T14:43:57Z</dcterms:modified>
  <cp:category/>
  <cp:version/>
  <cp:contentType/>
  <cp:contentStatus/>
</cp:coreProperties>
</file>